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24226"/>
  <mc:AlternateContent xmlns:mc="http://schemas.openxmlformats.org/markup-compatibility/2006">
    <mc:Choice Requires="x15">
      <x15ac:absPath xmlns:x15ac="http://schemas.microsoft.com/office/spreadsheetml/2010/11/ac" url="C:\Users\Admin\Documents\Gutenberg\4-MODELS\FB Facebook\"/>
    </mc:Choice>
  </mc:AlternateContent>
  <xr:revisionPtr revIDLastSave="0" documentId="13_ncr:1_{8E7B3515-7EC6-4DA1-9EE7-7E49E4D1A25B}" xr6:coauthVersionLast="40" xr6:coauthVersionMax="40" xr10:uidLastSave="{00000000-0000-0000-0000-000000000000}"/>
  <bookViews>
    <workbookView xWindow="2685" yWindow="2685" windowWidth="38700" windowHeight="15825" tabRatio="767" xr2:uid="{00000000-000D-0000-FFFF-FFFF00000000}"/>
  </bookViews>
  <sheets>
    <sheet name="Earnings Model" sheetId="3" r:id="rId1"/>
    <sheet name="Charts" sheetId="21" r:id="rId2"/>
    <sheet name="Std Dev" sheetId="29" r:id="rId3"/>
    <sheet name="USD-EUR" sheetId="38" r:id="rId4"/>
  </sheets>
  <definedNames>
    <definedName name="DATA" localSheetId="1">#REF!</definedName>
    <definedName name="DATA">#REF!</definedName>
    <definedName name="_xlnm.Print_Area" localSheetId="0">'Earnings Model'!$B$2:$AQ$226</definedName>
  </definedNames>
  <calcPr calcId="181029"/>
</workbook>
</file>

<file path=xl/calcChain.xml><?xml version="1.0" encoding="utf-8"?>
<calcChain xmlns="http://schemas.openxmlformats.org/spreadsheetml/2006/main">
  <c r="S43" i="3" l="1"/>
  <c r="S42" i="3" s="1"/>
  <c r="S45" i="3"/>
  <c r="S44" i="3" s="1"/>
  <c r="T45" i="3"/>
  <c r="S47" i="3"/>
  <c r="S46" i="3" s="1"/>
  <c r="T47" i="3"/>
  <c r="S49" i="3"/>
  <c r="S48" i="3" s="1"/>
  <c r="T49" i="3"/>
  <c r="S53" i="3"/>
  <c r="S52" i="3" s="1"/>
  <c r="T53" i="3"/>
  <c r="U53" i="3"/>
  <c r="U52" i="3" s="1"/>
  <c r="V53" i="3"/>
  <c r="S55" i="3"/>
  <c r="S54" i="3" s="1"/>
  <c r="T55" i="3"/>
  <c r="U55" i="3"/>
  <c r="U54" i="3" s="1"/>
  <c r="V55" i="3"/>
  <c r="S57" i="3"/>
  <c r="S56" i="3" s="1"/>
  <c r="T57" i="3"/>
  <c r="T56" i="3" s="1"/>
  <c r="U57" i="3"/>
  <c r="V57" i="3"/>
  <c r="V56" i="3" s="1"/>
  <c r="S59" i="3"/>
  <c r="S58" i="3" s="1"/>
  <c r="T59" i="3"/>
  <c r="T58" i="3" s="1"/>
  <c r="U59" i="3"/>
  <c r="V59" i="3"/>
  <c r="V58" i="3" s="1"/>
  <c r="V54" i="3" l="1"/>
  <c r="S36" i="3"/>
  <c r="S50" i="3"/>
  <c r="U58" i="3"/>
  <c r="U56" i="3"/>
  <c r="V52" i="3"/>
  <c r="S39" i="3"/>
  <c r="S38" i="3"/>
  <c r="S37" i="3"/>
  <c r="T54" i="3"/>
  <c r="U49" i="3"/>
  <c r="U47" i="3"/>
  <c r="U45" i="3"/>
  <c r="T52" i="3"/>
  <c r="T48" i="3"/>
  <c r="T46" i="3"/>
  <c r="T44" i="3"/>
  <c r="T43" i="3"/>
  <c r="U46" i="3" l="1"/>
  <c r="V47" i="3"/>
  <c r="T42" i="3"/>
  <c r="U48" i="3"/>
  <c r="V49" i="3"/>
  <c r="T39" i="3"/>
  <c r="T37" i="3"/>
  <c r="U43" i="3"/>
  <c r="T38" i="3"/>
  <c r="U44" i="3"/>
  <c r="V45" i="3"/>
  <c r="S40" i="3"/>
  <c r="U37" i="3" l="1"/>
  <c r="U42" i="3"/>
  <c r="V48" i="3"/>
  <c r="U38" i="3"/>
  <c r="V43" i="3"/>
  <c r="S60" i="3"/>
  <c r="U39" i="3"/>
  <c r="V46" i="3"/>
  <c r="V44" i="3"/>
  <c r="T36" i="3"/>
  <c r="T40" i="3" s="1"/>
  <c r="T50" i="3"/>
  <c r="V39" i="3" l="1"/>
  <c r="T60" i="3"/>
  <c r="V37" i="3"/>
  <c r="V38" i="3"/>
  <c r="V42" i="3"/>
  <c r="U36" i="3"/>
  <c r="U40" i="3" s="1"/>
  <c r="U50" i="3"/>
  <c r="U60" i="3" l="1"/>
  <c r="V36" i="3"/>
  <c r="V40" i="3" s="1"/>
  <c r="V50" i="3"/>
  <c r="V60" i="3" l="1"/>
  <c r="L125" i="3" l="1"/>
  <c r="Q125" i="3"/>
  <c r="Q126" i="3" s="1"/>
  <c r="K125" i="3"/>
  <c r="P125" i="3"/>
  <c r="J125" i="3"/>
  <c r="O125" i="3"/>
  <c r="I125" i="3"/>
  <c r="N125" i="3"/>
  <c r="N43" i="3"/>
  <c r="O43" i="3"/>
  <c r="P43" i="3"/>
  <c r="Q43" i="3"/>
  <c r="N53" i="3"/>
  <c r="N45" i="3"/>
  <c r="O45" i="3"/>
  <c r="P45" i="3"/>
  <c r="Q45" i="3"/>
  <c r="N55" i="3"/>
  <c r="N47" i="3"/>
  <c r="O47" i="3"/>
  <c r="P47" i="3"/>
  <c r="Q47" i="3"/>
  <c r="N57" i="3"/>
  <c r="N49" i="3"/>
  <c r="O49" i="3"/>
  <c r="P49" i="3"/>
  <c r="Q49" i="3"/>
  <c r="N59" i="3"/>
  <c r="N72" i="3"/>
  <c r="O72" i="3"/>
  <c r="P72" i="3"/>
  <c r="Q72" i="3"/>
  <c r="O53" i="3"/>
  <c r="O55" i="3"/>
  <c r="O57" i="3"/>
  <c r="O59" i="3"/>
  <c r="P53" i="3"/>
  <c r="P55" i="3"/>
  <c r="P57" i="3"/>
  <c r="P59" i="3"/>
  <c r="Q53" i="3"/>
  <c r="Q55" i="3"/>
  <c r="Q57" i="3"/>
  <c r="Q59" i="3"/>
  <c r="L123" i="3"/>
  <c r="Q123" i="3"/>
  <c r="K123" i="3"/>
  <c r="P123" i="3"/>
  <c r="J123" i="3"/>
  <c r="O123" i="3"/>
  <c r="I123" i="3"/>
  <c r="N123" i="3"/>
  <c r="N124" i="3" s="1"/>
  <c r="S22" i="3"/>
  <c r="T22" i="3" s="1"/>
  <c r="U22" i="3" s="1"/>
  <c r="V22" i="3" s="1"/>
  <c r="N70" i="3"/>
  <c r="O70" i="3"/>
  <c r="S70" i="3" s="1"/>
  <c r="T70" i="3" s="1"/>
  <c r="P70" i="3"/>
  <c r="Q70" i="3"/>
  <c r="N71" i="3"/>
  <c r="O71" i="3"/>
  <c r="P71" i="3"/>
  <c r="Q71" i="3"/>
  <c r="S71" i="3"/>
  <c r="W22" i="3"/>
  <c r="Q66" i="3"/>
  <c r="O66" i="3"/>
  <c r="P66" i="3"/>
  <c r="N66" i="3"/>
  <c r="R13" i="3"/>
  <c r="M13" i="3"/>
  <c r="Q65" i="3"/>
  <c r="P65" i="3"/>
  <c r="O65" i="3"/>
  <c r="N65" i="3"/>
  <c r="I65" i="3"/>
  <c r="F65" i="3"/>
  <c r="G65" i="3"/>
  <c r="J65" i="3"/>
  <c r="K65" i="3"/>
  <c r="L65" i="3"/>
  <c r="E65" i="3"/>
  <c r="W84" i="3"/>
  <c r="N15" i="3"/>
  <c r="N69" i="3" s="1"/>
  <c r="O15" i="3"/>
  <c r="O69" i="3" s="1"/>
  <c r="P15" i="3"/>
  <c r="P69" i="3" s="1"/>
  <c r="Q15" i="3"/>
  <c r="Q69" i="3" s="1"/>
  <c r="R17" i="3"/>
  <c r="R18" i="3"/>
  <c r="R19" i="3"/>
  <c r="R14" i="3"/>
  <c r="M17" i="3"/>
  <c r="M70" i="3" s="1"/>
  <c r="M18" i="3"/>
  <c r="M19" i="3"/>
  <c r="M14" i="3"/>
  <c r="Q73" i="3"/>
  <c r="P73" i="3"/>
  <c r="N73" i="3"/>
  <c r="G17" i="3"/>
  <c r="G18" i="3"/>
  <c r="G19" i="3"/>
  <c r="H19" i="3" s="1"/>
  <c r="H14" i="3"/>
  <c r="K73" i="3"/>
  <c r="L73" i="3"/>
  <c r="N20" i="3"/>
  <c r="O20" i="3"/>
  <c r="O21" i="3" s="1"/>
  <c r="O23" i="3" s="1"/>
  <c r="O75" i="3" s="1"/>
  <c r="P20" i="3"/>
  <c r="P21" i="3" s="1"/>
  <c r="P23" i="3" s="1"/>
  <c r="P75" i="3" s="1"/>
  <c r="Q20" i="3"/>
  <c r="Q21" i="3" s="1"/>
  <c r="Q23" i="3" s="1"/>
  <c r="Q75" i="3" s="1"/>
  <c r="N184" i="3"/>
  <c r="O152" i="3"/>
  <c r="P152" i="3" s="1"/>
  <c r="O184" i="3"/>
  <c r="R99" i="3"/>
  <c r="N128" i="3"/>
  <c r="O134" i="3"/>
  <c r="O136" i="3"/>
  <c r="N182" i="3"/>
  <c r="Q169" i="3"/>
  <c r="O169" i="3"/>
  <c r="R20" i="3"/>
  <c r="R15" i="3"/>
  <c r="R22" i="3"/>
  <c r="R24" i="3"/>
  <c r="R135" i="3"/>
  <c r="O137" i="3"/>
  <c r="P137" i="3"/>
  <c r="Q137" i="3" s="1"/>
  <c r="R137" i="3" s="1"/>
  <c r="O138" i="3"/>
  <c r="Q138" i="3" s="1"/>
  <c r="R138" i="3" s="1"/>
  <c r="O139" i="3"/>
  <c r="Q139" i="3" s="1"/>
  <c r="O140" i="3"/>
  <c r="P140" i="3" s="1"/>
  <c r="Q140" i="3" s="1"/>
  <c r="O142" i="3"/>
  <c r="P142" i="3" s="1"/>
  <c r="Q142" i="3" s="1"/>
  <c r="O143" i="3"/>
  <c r="P143" i="3" s="1"/>
  <c r="Q143" i="3" s="1"/>
  <c r="O144" i="3"/>
  <c r="P144" i="3" s="1"/>
  <c r="Q144" i="3" s="1"/>
  <c r="O145" i="3"/>
  <c r="P145" i="3" s="1"/>
  <c r="Q145" i="3" s="1"/>
  <c r="O146" i="3"/>
  <c r="P146" i="3" s="1"/>
  <c r="Q146" i="3" s="1"/>
  <c r="O147" i="3"/>
  <c r="P147" i="3" s="1"/>
  <c r="Q147" i="3" s="1"/>
  <c r="O148" i="3"/>
  <c r="P148" i="3" s="1"/>
  <c r="Q148" i="3" s="1"/>
  <c r="O149" i="3"/>
  <c r="P149" i="3" s="1"/>
  <c r="Q149" i="3" s="1"/>
  <c r="Q25" i="3"/>
  <c r="Q133" i="3" s="1"/>
  <c r="O25" i="3"/>
  <c r="O133" i="3" s="1"/>
  <c r="O150" i="3" s="1"/>
  <c r="O171" i="3" s="1"/>
  <c r="I15" i="3"/>
  <c r="I20" i="3"/>
  <c r="J15" i="3"/>
  <c r="J69" i="3" s="1"/>
  <c r="J20" i="3"/>
  <c r="K15" i="3"/>
  <c r="K20" i="3"/>
  <c r="L15" i="3"/>
  <c r="L69" i="3" s="1"/>
  <c r="L20" i="3"/>
  <c r="L134" i="3"/>
  <c r="L135" i="3"/>
  <c r="L136" i="3"/>
  <c r="L182" i="3" s="1"/>
  <c r="L137" i="3"/>
  <c r="L138" i="3"/>
  <c r="L139" i="3"/>
  <c r="L140" i="3"/>
  <c r="L142" i="3"/>
  <c r="L143" i="3"/>
  <c r="L144" i="3"/>
  <c r="L145" i="3"/>
  <c r="L146" i="3"/>
  <c r="L147" i="3"/>
  <c r="L148" i="3"/>
  <c r="L149" i="3"/>
  <c r="L152" i="3"/>
  <c r="N117" i="3"/>
  <c r="N109" i="3"/>
  <c r="N111" i="3" s="1"/>
  <c r="N118" i="3"/>
  <c r="N127" i="3" s="1"/>
  <c r="O117" i="3"/>
  <c r="O109" i="3"/>
  <c r="O111" i="3" s="1"/>
  <c r="O118" i="3" s="1"/>
  <c r="O127" i="3" s="1"/>
  <c r="P117" i="3"/>
  <c r="P109" i="3"/>
  <c r="P111" i="3" s="1"/>
  <c r="Q117" i="3"/>
  <c r="Q109" i="3"/>
  <c r="Q111" i="3" s="1"/>
  <c r="G167" i="3"/>
  <c r="G161" i="3"/>
  <c r="G163" i="3"/>
  <c r="H163" i="3" s="1"/>
  <c r="G155" i="3"/>
  <c r="G156" i="3"/>
  <c r="G15" i="3"/>
  <c r="G20" i="3"/>
  <c r="G24" i="3"/>
  <c r="G136" i="3"/>
  <c r="G137" i="3"/>
  <c r="G138" i="3"/>
  <c r="H138" i="3" s="1"/>
  <c r="G139" i="3"/>
  <c r="G143" i="3"/>
  <c r="G147" i="3"/>
  <c r="G149" i="3"/>
  <c r="H149" i="3" s="1"/>
  <c r="I164" i="3"/>
  <c r="I153" i="3"/>
  <c r="I156" i="3"/>
  <c r="J164" i="3"/>
  <c r="J153" i="3"/>
  <c r="J155" i="3"/>
  <c r="J156" i="3" s="1"/>
  <c r="J165" i="3"/>
  <c r="K164" i="3"/>
  <c r="K156" i="3"/>
  <c r="L158" i="3"/>
  <c r="L159" i="3"/>
  <c r="L160" i="3"/>
  <c r="M160" i="3" s="1"/>
  <c r="L161" i="3"/>
  <c r="L162" i="3"/>
  <c r="L163" i="3"/>
  <c r="L153" i="3"/>
  <c r="M153" i="3" s="1"/>
  <c r="L154" i="3"/>
  <c r="L155" i="3"/>
  <c r="L165" i="3"/>
  <c r="N164" i="3"/>
  <c r="N153" i="3"/>
  <c r="N156" i="3"/>
  <c r="O158" i="3"/>
  <c r="O159" i="3"/>
  <c r="O160" i="3"/>
  <c r="O161" i="3"/>
  <c r="Q161" i="3" s="1"/>
  <c r="R161" i="3" s="1"/>
  <c r="O162" i="3"/>
  <c r="O163" i="3"/>
  <c r="O153" i="3"/>
  <c r="O154" i="3"/>
  <c r="P154" i="3" s="1"/>
  <c r="O155" i="3"/>
  <c r="O165" i="3"/>
  <c r="P158" i="3"/>
  <c r="P162" i="3"/>
  <c r="Q162" i="3" s="1"/>
  <c r="R162" i="3" s="1"/>
  <c r="P153" i="3"/>
  <c r="P155" i="3"/>
  <c r="R155" i="3" s="1"/>
  <c r="Q158" i="3"/>
  <c r="Q160" i="3"/>
  <c r="Q155" i="3"/>
  <c r="R95" i="3"/>
  <c r="L169" i="3"/>
  <c r="M95" i="3"/>
  <c r="M22" i="3"/>
  <c r="H95" i="3"/>
  <c r="I169" i="3"/>
  <c r="K169" i="3"/>
  <c r="J169" i="3"/>
  <c r="D164" i="3"/>
  <c r="D156" i="3"/>
  <c r="D15" i="3"/>
  <c r="D21" i="3" s="1"/>
  <c r="D20" i="3"/>
  <c r="E164" i="3"/>
  <c r="E156" i="3"/>
  <c r="E15" i="3"/>
  <c r="E20" i="3"/>
  <c r="E21" i="3"/>
  <c r="E23" i="3" s="1"/>
  <c r="F164" i="3"/>
  <c r="F156" i="3"/>
  <c r="F15" i="3"/>
  <c r="F20" i="3"/>
  <c r="F21" i="3" s="1"/>
  <c r="M169" i="3"/>
  <c r="E117" i="3"/>
  <c r="E109" i="3"/>
  <c r="E111" i="3"/>
  <c r="E118" i="3" s="1"/>
  <c r="E127" i="3" s="1"/>
  <c r="F117" i="3"/>
  <c r="F109" i="3"/>
  <c r="F111" i="3" s="1"/>
  <c r="F118" i="3" s="1"/>
  <c r="F127" i="3" s="1"/>
  <c r="G117" i="3"/>
  <c r="G109" i="3"/>
  <c r="G111" i="3" s="1"/>
  <c r="H105" i="3"/>
  <c r="H106" i="3"/>
  <c r="H107" i="3"/>
  <c r="H108" i="3"/>
  <c r="H109" i="3" s="1"/>
  <c r="H111" i="3" s="1"/>
  <c r="H110" i="3"/>
  <c r="H113" i="3"/>
  <c r="H114" i="3"/>
  <c r="H115" i="3"/>
  <c r="H117" i="3" s="1"/>
  <c r="H116" i="3"/>
  <c r="I109" i="3"/>
  <c r="I111" i="3"/>
  <c r="I117" i="3"/>
  <c r="J109" i="3"/>
  <c r="J111" i="3" s="1"/>
  <c r="J117" i="3"/>
  <c r="K109" i="3"/>
  <c r="K111" i="3" s="1"/>
  <c r="K118" i="3" s="1"/>
  <c r="K127" i="3" s="1"/>
  <c r="K117" i="3"/>
  <c r="L109" i="3"/>
  <c r="L111" i="3" s="1"/>
  <c r="L117" i="3"/>
  <c r="M105" i="3"/>
  <c r="M106" i="3"/>
  <c r="M107" i="3"/>
  <c r="M108" i="3"/>
  <c r="M110" i="3"/>
  <c r="M113" i="3"/>
  <c r="M114" i="3"/>
  <c r="M115" i="3"/>
  <c r="M116" i="3"/>
  <c r="R105" i="3"/>
  <c r="R106" i="3"/>
  <c r="R107" i="3"/>
  <c r="R108" i="3"/>
  <c r="R109" i="3" s="1"/>
  <c r="R111" i="3" s="1"/>
  <c r="R110" i="3"/>
  <c r="R113" i="3"/>
  <c r="R114" i="3"/>
  <c r="R115" i="3"/>
  <c r="R117" i="3" s="1"/>
  <c r="R116" i="3"/>
  <c r="D117" i="3"/>
  <c r="D109" i="3"/>
  <c r="D111" i="3" s="1"/>
  <c r="D118" i="3" s="1"/>
  <c r="D127" i="3" s="1"/>
  <c r="I128" i="3"/>
  <c r="L128" i="3"/>
  <c r="K128" i="3"/>
  <c r="J128" i="3"/>
  <c r="F128" i="3"/>
  <c r="G128" i="3"/>
  <c r="E128" i="3"/>
  <c r="R169" i="3"/>
  <c r="H96" i="3"/>
  <c r="H97" i="3"/>
  <c r="H99" i="3"/>
  <c r="H100" i="3"/>
  <c r="H101" i="3"/>
  <c r="H102" i="3"/>
  <c r="M96" i="3"/>
  <c r="M97" i="3"/>
  <c r="M99" i="3"/>
  <c r="M100" i="3"/>
  <c r="M101" i="3"/>
  <c r="M102" i="3"/>
  <c r="R96" i="3"/>
  <c r="R97" i="3"/>
  <c r="R100" i="3"/>
  <c r="R101" i="3"/>
  <c r="R102" i="3"/>
  <c r="M158" i="3"/>
  <c r="M159" i="3"/>
  <c r="M161" i="3"/>
  <c r="M162" i="3"/>
  <c r="M163" i="3"/>
  <c r="M152" i="3"/>
  <c r="M154" i="3"/>
  <c r="M15" i="3"/>
  <c r="M20" i="3"/>
  <c r="M24" i="3"/>
  <c r="M134" i="3"/>
  <c r="M135" i="3"/>
  <c r="M136" i="3"/>
  <c r="M137" i="3"/>
  <c r="M138" i="3"/>
  <c r="M139" i="3"/>
  <c r="M140" i="3"/>
  <c r="M142" i="3"/>
  <c r="M143" i="3"/>
  <c r="M144" i="3"/>
  <c r="M145" i="3"/>
  <c r="M146" i="3"/>
  <c r="M147" i="3"/>
  <c r="M148" i="3"/>
  <c r="M149" i="3"/>
  <c r="M165" i="3"/>
  <c r="H13" i="3"/>
  <c r="H15" i="3" s="1"/>
  <c r="H69" i="3" s="1"/>
  <c r="H22" i="3"/>
  <c r="H24" i="3"/>
  <c r="H136" i="3"/>
  <c r="H137" i="3"/>
  <c r="H139" i="3"/>
  <c r="H143" i="3"/>
  <c r="H147" i="3"/>
  <c r="H134" i="3"/>
  <c r="H135" i="3"/>
  <c r="H140" i="3"/>
  <c r="H142" i="3"/>
  <c r="H144" i="3"/>
  <c r="H145" i="3"/>
  <c r="H146" i="3"/>
  <c r="H148" i="3"/>
  <c r="H152" i="3"/>
  <c r="R158" i="3"/>
  <c r="R160" i="3"/>
  <c r="H158" i="3"/>
  <c r="H164" i="3" s="1"/>
  <c r="H161" i="3"/>
  <c r="H159" i="3"/>
  <c r="H160" i="3"/>
  <c r="H162" i="3"/>
  <c r="H153" i="3"/>
  <c r="Q40" i="3"/>
  <c r="Q62" i="3" s="1"/>
  <c r="P40" i="3"/>
  <c r="P62" i="3" s="1"/>
  <c r="O40" i="3"/>
  <c r="O62" i="3" s="1"/>
  <c r="N40" i="3"/>
  <c r="N62" i="3" s="1"/>
  <c r="L40" i="3"/>
  <c r="L62" i="3" s="1"/>
  <c r="K40" i="3"/>
  <c r="K62" i="3" s="1"/>
  <c r="J40" i="3"/>
  <c r="J62" i="3" s="1"/>
  <c r="I40" i="3"/>
  <c r="I62" i="3" s="1"/>
  <c r="E40" i="3"/>
  <c r="E62" i="3" s="1"/>
  <c r="F40" i="3"/>
  <c r="F62" i="3" s="1"/>
  <c r="G40" i="3"/>
  <c r="G62" i="3" s="1"/>
  <c r="D40" i="3"/>
  <c r="D62" i="3" s="1"/>
  <c r="S89" i="3"/>
  <c r="T89" i="3" s="1"/>
  <c r="S88" i="3"/>
  <c r="T88" i="3" s="1"/>
  <c r="S87" i="3"/>
  <c r="T87" i="3" s="1"/>
  <c r="S86" i="3"/>
  <c r="T86" i="3" s="1"/>
  <c r="N81" i="3"/>
  <c r="O81" i="3"/>
  <c r="P81" i="3"/>
  <c r="Q81" i="3"/>
  <c r="N82" i="3"/>
  <c r="O82" i="3"/>
  <c r="O79" i="3" s="1"/>
  <c r="P82" i="3"/>
  <c r="Q82" i="3"/>
  <c r="Q79" i="3" s="1"/>
  <c r="N78" i="3"/>
  <c r="S82" i="3"/>
  <c r="V82" i="3"/>
  <c r="T82" i="3"/>
  <c r="W82" i="3" s="1"/>
  <c r="U82" i="3"/>
  <c r="R81" i="3"/>
  <c r="I81" i="3"/>
  <c r="J81" i="3"/>
  <c r="K81" i="3"/>
  <c r="L81" i="3"/>
  <c r="M81" i="3"/>
  <c r="L82" i="3"/>
  <c r="E70" i="3"/>
  <c r="F70" i="3"/>
  <c r="G70" i="3"/>
  <c r="I70" i="3"/>
  <c r="J70" i="3"/>
  <c r="K70" i="3"/>
  <c r="L70" i="3"/>
  <c r="R70" i="3"/>
  <c r="E71" i="3"/>
  <c r="F71" i="3"/>
  <c r="I71" i="3"/>
  <c r="J71" i="3"/>
  <c r="K71" i="3"/>
  <c r="L71" i="3"/>
  <c r="M71" i="3"/>
  <c r="R71" i="3"/>
  <c r="E72" i="3"/>
  <c r="F72" i="3"/>
  <c r="G72" i="3"/>
  <c r="H72" i="3"/>
  <c r="I72" i="3"/>
  <c r="J72" i="3"/>
  <c r="K72" i="3"/>
  <c r="L72" i="3"/>
  <c r="M72" i="3"/>
  <c r="R72" i="3"/>
  <c r="D72" i="3"/>
  <c r="D71" i="3"/>
  <c r="D70" i="3"/>
  <c r="E69" i="3"/>
  <c r="F69" i="3"/>
  <c r="G69" i="3"/>
  <c r="I69" i="3"/>
  <c r="K69" i="3"/>
  <c r="M69" i="3"/>
  <c r="R69" i="3"/>
  <c r="D69" i="3"/>
  <c r="Q50" i="3"/>
  <c r="P50" i="3"/>
  <c r="O50" i="3"/>
  <c r="P60" i="3"/>
  <c r="N50" i="3"/>
  <c r="L50" i="3"/>
  <c r="F50" i="3"/>
  <c r="G60" i="3" s="1"/>
  <c r="G50" i="3"/>
  <c r="E50" i="3"/>
  <c r="D50" i="3"/>
  <c r="J50" i="3"/>
  <c r="K5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W26" i="3"/>
  <c r="R26" i="3"/>
  <c r="Q27" i="3"/>
  <c r="O27" i="3"/>
  <c r="M26" i="3"/>
  <c r="H26" i="3"/>
  <c r="K82" i="3"/>
  <c r="K78" i="3" s="1"/>
  <c r="J82" i="3"/>
  <c r="I82" i="3"/>
  <c r="I5" i="29"/>
  <c r="I6" i="29"/>
  <c r="I7" i="29"/>
  <c r="I8" i="29"/>
  <c r="I9" i="29"/>
  <c r="I10" i="29"/>
  <c r="I11" i="29"/>
  <c r="I12" i="29"/>
  <c r="I13" i="29"/>
  <c r="I14" i="29"/>
  <c r="I15" i="29"/>
  <c r="I16" i="29"/>
  <c r="I17" i="29"/>
  <c r="K22" i="29"/>
  <c r="J5" i="29"/>
  <c r="K5" i="29"/>
  <c r="J6" i="29"/>
  <c r="K6" i="29"/>
  <c r="J7" i="29"/>
  <c r="K7" i="29"/>
  <c r="J8" i="29"/>
  <c r="K8" i="29"/>
  <c r="J9" i="29"/>
  <c r="K9" i="29"/>
  <c r="J10" i="29"/>
  <c r="K10" i="29"/>
  <c r="J11" i="29"/>
  <c r="K11" i="29"/>
  <c r="J12" i="29"/>
  <c r="K12" i="29"/>
  <c r="J13" i="29"/>
  <c r="K13" i="29"/>
  <c r="J14" i="29"/>
  <c r="K14" i="29"/>
  <c r="J15" i="29"/>
  <c r="K15" i="29"/>
  <c r="J16" i="29"/>
  <c r="K16" i="29"/>
  <c r="K18" i="29"/>
  <c r="K19" i="29"/>
  <c r="K20" i="29"/>
  <c r="K21" i="29"/>
  <c r="W81" i="3"/>
  <c r="D182" i="3"/>
  <c r="I184" i="3"/>
  <c r="D184" i="3"/>
  <c r="E123" i="3"/>
  <c r="E124" i="3" s="1"/>
  <c r="I124" i="3"/>
  <c r="P124" i="3"/>
  <c r="P74" i="3"/>
  <c r="J184" i="3"/>
  <c r="E184" i="3"/>
  <c r="G184" i="3"/>
  <c r="F184" i="3"/>
  <c r="L184" i="3"/>
  <c r="K184" i="3"/>
  <c r="H165" i="3"/>
  <c r="H155" i="3"/>
  <c r="H154" i="3"/>
  <c r="M184" i="3"/>
  <c r="O74" i="3"/>
  <c r="O124" i="3"/>
  <c r="O64" i="3"/>
  <c r="N64" i="3"/>
  <c r="L64" i="3"/>
  <c r="K64" i="3"/>
  <c r="I64" i="3"/>
  <c r="I182" i="3"/>
  <c r="K126" i="3"/>
  <c r="K124" i="3"/>
  <c r="I78" i="3"/>
  <c r="J124" i="3"/>
  <c r="I126" i="3"/>
  <c r="P126" i="3"/>
  <c r="G123" i="3"/>
  <c r="G124" i="3" s="1"/>
  <c r="F123" i="3"/>
  <c r="F124" i="3" s="1"/>
  <c r="J79" i="3"/>
  <c r="P64" i="3"/>
  <c r="O126" i="3"/>
  <c r="N126" i="3"/>
  <c r="Q124" i="3"/>
  <c r="I79" i="3"/>
  <c r="E74" i="3"/>
  <c r="J182" i="3"/>
  <c r="J78" i="3"/>
  <c r="L126" i="3"/>
  <c r="E182" i="3"/>
  <c r="J64" i="3"/>
  <c r="K182" i="3"/>
  <c r="F182" i="3"/>
  <c r="O31" i="3"/>
  <c r="O30" i="3"/>
  <c r="M64" i="3"/>
  <c r="G182" i="3"/>
  <c r="Q64" i="3"/>
  <c r="R64" i="3"/>
  <c r="Q74" i="3"/>
  <c r="Q30" i="3"/>
  <c r="Q31" i="3"/>
  <c r="M82" i="3"/>
  <c r="Q152" i="3" l="1"/>
  <c r="Q184" i="3" s="1"/>
  <c r="R152" i="3"/>
  <c r="R184" i="3" s="1"/>
  <c r="K79" i="3"/>
  <c r="H156" i="3"/>
  <c r="H184" i="3"/>
  <c r="F23" i="3"/>
  <c r="F74" i="3"/>
  <c r="R165" i="3"/>
  <c r="P165" i="3"/>
  <c r="Q165" i="3" s="1"/>
  <c r="P163" i="3"/>
  <c r="Q163" i="3" s="1"/>
  <c r="Q159" i="3"/>
  <c r="R159" i="3" s="1"/>
  <c r="L124" i="3"/>
  <c r="Q154" i="3"/>
  <c r="R154" i="3" s="1"/>
  <c r="J126" i="3"/>
  <c r="P25" i="3"/>
  <c r="O128" i="3"/>
  <c r="P134" i="3"/>
  <c r="L60" i="3"/>
  <c r="L79" i="3"/>
  <c r="L78" i="3"/>
  <c r="P156" i="3"/>
  <c r="O182" i="3"/>
  <c r="P136" i="3"/>
  <c r="Q136" i="3" s="1"/>
  <c r="Q182" i="3" s="1"/>
  <c r="R136" i="3"/>
  <c r="H18" i="3"/>
  <c r="H71" i="3" s="1"/>
  <c r="G71" i="3"/>
  <c r="K60" i="3"/>
  <c r="M21" i="3"/>
  <c r="M164" i="3"/>
  <c r="M117" i="3"/>
  <c r="M118" i="3" s="1"/>
  <c r="M127" i="3" s="1"/>
  <c r="O164" i="3"/>
  <c r="L164" i="3"/>
  <c r="G21" i="3"/>
  <c r="G164" i="3"/>
  <c r="K21" i="3"/>
  <c r="I21" i="3"/>
  <c r="I73" i="3"/>
  <c r="R73" i="3"/>
  <c r="R67" i="3"/>
  <c r="S72" i="3"/>
  <c r="L156" i="3"/>
  <c r="N21" i="3"/>
  <c r="F60" i="3"/>
  <c r="N60" i="3"/>
  <c r="M155" i="3"/>
  <c r="M156" i="3" s="1"/>
  <c r="M109" i="3"/>
  <c r="M111" i="3" s="1"/>
  <c r="I118" i="3"/>
  <c r="P164" i="3"/>
  <c r="O156" i="3"/>
  <c r="P118" i="3"/>
  <c r="P127" i="3" s="1"/>
  <c r="L21" i="3"/>
  <c r="J21" i="3"/>
  <c r="R21" i="3"/>
  <c r="O73" i="3"/>
  <c r="E75" i="3"/>
  <c r="E25" i="3"/>
  <c r="R82" i="3"/>
  <c r="L118" i="3"/>
  <c r="J118" i="3"/>
  <c r="G118" i="3"/>
  <c r="Q60" i="3"/>
  <c r="R118" i="3"/>
  <c r="H118" i="3"/>
  <c r="D23" i="3"/>
  <c r="D74" i="3"/>
  <c r="J60" i="3"/>
  <c r="I60" i="3"/>
  <c r="E60" i="3"/>
  <c r="O60" i="3"/>
  <c r="P78" i="3"/>
  <c r="P79" i="3"/>
  <c r="I127" i="3"/>
  <c r="O78" i="3"/>
  <c r="N79" i="3"/>
  <c r="S79" i="3" s="1"/>
  <c r="Q164" i="3"/>
  <c r="U86" i="3"/>
  <c r="U87" i="3"/>
  <c r="U88" i="3"/>
  <c r="U89" i="3"/>
  <c r="V89" i="3" s="1"/>
  <c r="Q78" i="3"/>
  <c r="Q118" i="3"/>
  <c r="Q153" i="3"/>
  <c r="R149" i="3"/>
  <c r="R148" i="3"/>
  <c r="R147" i="3"/>
  <c r="R146" i="3"/>
  <c r="R145" i="3"/>
  <c r="R144" i="3"/>
  <c r="R143" i="3"/>
  <c r="R142" i="3"/>
  <c r="R140" i="3"/>
  <c r="R139" i="3"/>
  <c r="P182" i="3"/>
  <c r="P128" i="3"/>
  <c r="P184" i="3"/>
  <c r="H17" i="3"/>
  <c r="T71" i="3"/>
  <c r="U70" i="3"/>
  <c r="V70" i="3"/>
  <c r="T72" i="3"/>
  <c r="P133" i="3" l="1"/>
  <c r="P150" i="3" s="1"/>
  <c r="P30" i="3"/>
  <c r="P27" i="3"/>
  <c r="P31" i="3"/>
  <c r="L23" i="3"/>
  <c r="L74" i="3"/>
  <c r="P166" i="3"/>
  <c r="G23" i="3"/>
  <c r="G74" i="3"/>
  <c r="J23" i="3"/>
  <c r="J74" i="3"/>
  <c r="T79" i="3"/>
  <c r="I23" i="3"/>
  <c r="I74" i="3"/>
  <c r="M23" i="3"/>
  <c r="M74" i="3"/>
  <c r="Q134" i="3"/>
  <c r="R163" i="3"/>
  <c r="R164" i="3" s="1"/>
  <c r="F25" i="3"/>
  <c r="F75" i="3"/>
  <c r="R23" i="3"/>
  <c r="R74" i="3"/>
  <c r="N23" i="3"/>
  <c r="N74" i="3"/>
  <c r="K23" i="3"/>
  <c r="K74" i="3"/>
  <c r="O166" i="3"/>
  <c r="S29" i="3"/>
  <c r="R127" i="3"/>
  <c r="J127" i="3"/>
  <c r="M73" i="3"/>
  <c r="J73" i="3"/>
  <c r="H20" i="3"/>
  <c r="H21" i="3" s="1"/>
  <c r="H70" i="3"/>
  <c r="Q127" i="3"/>
  <c r="V88" i="3"/>
  <c r="L127" i="3"/>
  <c r="E133" i="3"/>
  <c r="E150" i="3" s="1"/>
  <c r="E31" i="3"/>
  <c r="E27" i="3"/>
  <c r="E30" i="3"/>
  <c r="V87" i="3"/>
  <c r="D25" i="3"/>
  <c r="D75" i="3"/>
  <c r="S78" i="3"/>
  <c r="U72" i="3"/>
  <c r="U71" i="3"/>
  <c r="Q156" i="3"/>
  <c r="R153" i="3"/>
  <c r="R156" i="3" s="1"/>
  <c r="V86" i="3"/>
  <c r="U79" i="3"/>
  <c r="H127" i="3"/>
  <c r="G127" i="3"/>
  <c r="Q128" i="3" l="1"/>
  <c r="Q150" i="3"/>
  <c r="Q166" i="3" s="1"/>
  <c r="G25" i="3"/>
  <c r="G75" i="3"/>
  <c r="N75" i="3"/>
  <c r="N25" i="3"/>
  <c r="P171" i="3"/>
  <c r="F133" i="3"/>
  <c r="F150" i="3" s="1"/>
  <c r="F166" i="3" s="1"/>
  <c r="F30" i="3"/>
  <c r="F31" i="3"/>
  <c r="F27" i="3"/>
  <c r="I25" i="3"/>
  <c r="I75" i="3"/>
  <c r="J25" i="3"/>
  <c r="J75" i="3"/>
  <c r="K25" i="3"/>
  <c r="K75" i="3"/>
  <c r="R25" i="3"/>
  <c r="R75" i="3"/>
  <c r="R134" i="3"/>
  <c r="M25" i="3"/>
  <c r="M75" i="3"/>
  <c r="L25" i="3"/>
  <c r="L75" i="3"/>
  <c r="T78" i="3"/>
  <c r="V79" i="3"/>
  <c r="D133" i="3"/>
  <c r="D150" i="3" s="1"/>
  <c r="D31" i="3"/>
  <c r="D30" i="3"/>
  <c r="D27" i="3"/>
  <c r="H23" i="3"/>
  <c r="H74" i="3"/>
  <c r="T29" i="3"/>
  <c r="U29" i="3" s="1"/>
  <c r="V29" i="3" s="1"/>
  <c r="S28" i="3"/>
  <c r="V72" i="3"/>
  <c r="E166" i="3"/>
  <c r="U78" i="3"/>
  <c r="V71" i="3"/>
  <c r="L133" i="3" l="1"/>
  <c r="L150" i="3" s="1"/>
  <c r="L30" i="3"/>
  <c r="L27" i="3"/>
  <c r="L31" i="3"/>
  <c r="K133" i="3"/>
  <c r="K150" i="3" s="1"/>
  <c r="K31" i="3"/>
  <c r="K30" i="3"/>
  <c r="K27" i="3"/>
  <c r="J133" i="3"/>
  <c r="J150" i="3" s="1"/>
  <c r="J27" i="3"/>
  <c r="J30" i="3"/>
  <c r="J31" i="3"/>
  <c r="Q171" i="3"/>
  <c r="I133" i="3"/>
  <c r="I150" i="3" s="1"/>
  <c r="I31" i="3"/>
  <c r="I27" i="3"/>
  <c r="I30" i="3"/>
  <c r="N133" i="3"/>
  <c r="N150" i="3" s="1"/>
  <c r="N27" i="3"/>
  <c r="N31" i="3"/>
  <c r="N30" i="3"/>
  <c r="M133" i="3"/>
  <c r="M150" i="3" s="1"/>
  <c r="M27" i="3"/>
  <c r="M31" i="3"/>
  <c r="M30" i="3"/>
  <c r="R133" i="3"/>
  <c r="R150" i="3" s="1"/>
  <c r="R27" i="3"/>
  <c r="R30" i="3"/>
  <c r="R31" i="3"/>
  <c r="G133" i="3"/>
  <c r="G150" i="3" s="1"/>
  <c r="G166" i="3" s="1"/>
  <c r="G168" i="3" s="1"/>
  <c r="G27" i="3"/>
  <c r="G31" i="3"/>
  <c r="G30" i="3"/>
  <c r="H75" i="3"/>
  <c r="H25" i="3"/>
  <c r="D166" i="3"/>
  <c r="D168" i="3" s="1"/>
  <c r="D170" i="3" s="1"/>
  <c r="I183" i="3"/>
  <c r="T28" i="3"/>
  <c r="U28" i="3" s="1"/>
  <c r="V78" i="3"/>
  <c r="L171" i="3" l="1"/>
  <c r="L183" i="3"/>
  <c r="L166" i="3"/>
  <c r="H168" i="3"/>
  <c r="G170" i="3"/>
  <c r="G94" i="3" s="1"/>
  <c r="R171" i="3"/>
  <c r="R166" i="3"/>
  <c r="R183" i="3"/>
  <c r="M171" i="3"/>
  <c r="M166" i="3"/>
  <c r="N171" i="3"/>
  <c r="N183" i="3"/>
  <c r="N166" i="3"/>
  <c r="S13" i="3"/>
  <c r="J171" i="3"/>
  <c r="O183" i="3"/>
  <c r="J166" i="3"/>
  <c r="J183" i="3"/>
  <c r="K183" i="3"/>
  <c r="K171" i="3"/>
  <c r="K166" i="3"/>
  <c r="P183" i="3"/>
  <c r="I171" i="3"/>
  <c r="I166" i="3"/>
  <c r="Q183" i="3"/>
  <c r="V28" i="3"/>
  <c r="D94" i="3"/>
  <c r="E167" i="3"/>
  <c r="E168" i="3" s="1"/>
  <c r="E170" i="3" s="1"/>
  <c r="H133" i="3"/>
  <c r="H150" i="3" s="1"/>
  <c r="H30" i="3"/>
  <c r="H27" i="3"/>
  <c r="H31" i="3"/>
  <c r="S62" i="3" l="1"/>
  <c r="S19" i="3"/>
  <c r="S65" i="3"/>
  <c r="S14" i="3"/>
  <c r="S17" i="3"/>
  <c r="S18" i="3"/>
  <c r="S64" i="3"/>
  <c r="S66" i="3"/>
  <c r="T13" i="3"/>
  <c r="H170" i="3"/>
  <c r="M167" i="3" s="1"/>
  <c r="I167" i="3"/>
  <c r="I168" i="3" s="1"/>
  <c r="H94" i="3"/>
  <c r="G175" i="3"/>
  <c r="G177" i="3" s="1"/>
  <c r="G98" i="3"/>
  <c r="G103" i="3" s="1"/>
  <c r="G119" i="3" s="1"/>
  <c r="F167" i="3"/>
  <c r="F168" i="3" s="1"/>
  <c r="F170" i="3" s="1"/>
  <c r="F94" i="3" s="1"/>
  <c r="E94" i="3"/>
  <c r="D98" i="3"/>
  <c r="D103" i="3" s="1"/>
  <c r="D119" i="3" s="1"/>
  <c r="D175" i="3"/>
  <c r="D177" i="3" s="1"/>
  <c r="H171" i="3"/>
  <c r="H166" i="3"/>
  <c r="M183" i="3"/>
  <c r="T62" i="3" l="1"/>
  <c r="V13" i="3"/>
  <c r="V62" i="3" s="1"/>
  <c r="H98" i="3"/>
  <c r="H103" i="3" s="1"/>
  <c r="H119" i="3" s="1"/>
  <c r="H175" i="3"/>
  <c r="H177" i="3" s="1"/>
  <c r="U13" i="3"/>
  <c r="I170" i="3"/>
  <c r="I94" i="3" s="1"/>
  <c r="J167" i="3"/>
  <c r="J168" i="3" s="1"/>
  <c r="S20" i="3"/>
  <c r="T19" i="3"/>
  <c r="T17" i="3"/>
  <c r="T66" i="3"/>
  <c r="T65" i="3"/>
  <c r="T64" i="3"/>
  <c r="T18" i="3"/>
  <c r="T14" i="3"/>
  <c r="S67" i="3"/>
  <c r="S68" i="3"/>
  <c r="S15" i="3"/>
  <c r="S73" i="3"/>
  <c r="E98" i="3"/>
  <c r="E103" i="3" s="1"/>
  <c r="E119" i="3" s="1"/>
  <c r="E76" i="3"/>
  <c r="E175" i="3"/>
  <c r="E177" i="3" s="1"/>
  <c r="F98" i="3"/>
  <c r="F103" i="3" s="1"/>
  <c r="F119" i="3" s="1"/>
  <c r="F76" i="3"/>
  <c r="F175" i="3"/>
  <c r="F177" i="3" s="1"/>
  <c r="G76" i="3"/>
  <c r="U62" i="3" l="1"/>
  <c r="T20" i="3"/>
  <c r="S21" i="3"/>
  <c r="U19" i="3"/>
  <c r="U65" i="3"/>
  <c r="U64" i="3"/>
  <c r="U66" i="3"/>
  <c r="U18" i="3"/>
  <c r="U14" i="3"/>
  <c r="U17" i="3"/>
  <c r="W13" i="3"/>
  <c r="T73" i="3"/>
  <c r="J170" i="3"/>
  <c r="J94" i="3" s="1"/>
  <c r="K167" i="3"/>
  <c r="K168" i="3" s="1"/>
  <c r="T68" i="3"/>
  <c r="T67" i="3"/>
  <c r="I98" i="3"/>
  <c r="I103" i="3" s="1"/>
  <c r="I119" i="3" s="1"/>
  <c r="I175" i="3"/>
  <c r="I177" i="3" s="1"/>
  <c r="I76" i="3"/>
  <c r="V19" i="3"/>
  <c r="V17" i="3"/>
  <c r="V18" i="3"/>
  <c r="W18" i="3" s="1"/>
  <c r="V14" i="3"/>
  <c r="V64" i="3"/>
  <c r="V66" i="3"/>
  <c r="V65" i="3"/>
  <c r="T15" i="3"/>
  <c r="T21" i="3" s="1"/>
  <c r="W17" i="3"/>
  <c r="U20" i="3" l="1"/>
  <c r="V20" i="3"/>
  <c r="U73" i="3"/>
  <c r="W14" i="3"/>
  <c r="W15" i="3" s="1"/>
  <c r="S23" i="3"/>
  <c r="S24" i="3" s="1"/>
  <c r="S25" i="3" s="1"/>
  <c r="S74" i="3"/>
  <c r="T74" i="3"/>
  <c r="T23" i="3"/>
  <c r="T24" i="3" s="1"/>
  <c r="W19" i="3"/>
  <c r="J98" i="3"/>
  <c r="J103" i="3" s="1"/>
  <c r="J119" i="3" s="1"/>
  <c r="J76" i="3"/>
  <c r="J175" i="3"/>
  <c r="J177" i="3" s="1"/>
  <c r="V67" i="3"/>
  <c r="V68" i="3"/>
  <c r="V73" i="3"/>
  <c r="U67" i="3"/>
  <c r="U68" i="3"/>
  <c r="W20" i="3"/>
  <c r="L167" i="3"/>
  <c r="L168" i="3" s="1"/>
  <c r="K170" i="3"/>
  <c r="K94" i="3" s="1"/>
  <c r="U15" i="3"/>
  <c r="U21" i="3" s="1"/>
  <c r="V15" i="3"/>
  <c r="V21" i="3" s="1"/>
  <c r="W67" i="3"/>
  <c r="W64" i="3"/>
  <c r="T25" i="3" l="1"/>
  <c r="T31" i="3" s="1"/>
  <c r="U74" i="3"/>
  <c r="U23" i="3"/>
  <c r="K175" i="3"/>
  <c r="K177" i="3" s="1"/>
  <c r="K98" i="3"/>
  <c r="K103" i="3" s="1"/>
  <c r="K119" i="3" s="1"/>
  <c r="K76" i="3"/>
  <c r="S31" i="3"/>
  <c r="S30" i="3"/>
  <c r="S27" i="3"/>
  <c r="M168" i="3"/>
  <c r="L170" i="3"/>
  <c r="L94" i="3" s="1"/>
  <c r="W73" i="3"/>
  <c r="W21" i="3"/>
  <c r="W69" i="3"/>
  <c r="V23" i="3"/>
  <c r="V74" i="3"/>
  <c r="T30" i="3"/>
  <c r="T27" i="3"/>
  <c r="N167" i="3" l="1"/>
  <c r="N168" i="3" s="1"/>
  <c r="M170" i="3"/>
  <c r="R167" i="3" s="1"/>
  <c r="L76" i="3"/>
  <c r="L175" i="3"/>
  <c r="L177" i="3" s="1"/>
  <c r="L98" i="3"/>
  <c r="L103" i="3" s="1"/>
  <c r="L119" i="3" s="1"/>
  <c r="M94" i="3"/>
  <c r="V24" i="3"/>
  <c r="V25" i="3" s="1"/>
  <c r="U24" i="3"/>
  <c r="U25" i="3"/>
  <c r="W23" i="3"/>
  <c r="W74" i="3"/>
  <c r="V27" i="3" l="1"/>
  <c r="V31" i="3"/>
  <c r="V30" i="3"/>
  <c r="O167" i="3"/>
  <c r="O168" i="3" s="1"/>
  <c r="N170" i="3"/>
  <c r="N94" i="3" s="1"/>
  <c r="U31" i="3"/>
  <c r="U30" i="3"/>
  <c r="U27" i="3"/>
  <c r="M175" i="3"/>
  <c r="M177" i="3" s="1"/>
  <c r="M76" i="3"/>
  <c r="M98" i="3"/>
  <c r="M103" i="3" s="1"/>
  <c r="M119" i="3" s="1"/>
  <c r="W24" i="3"/>
  <c r="W75" i="3" s="1"/>
  <c r="N76" i="3" l="1"/>
  <c r="N98" i="3"/>
  <c r="N103" i="3" s="1"/>
  <c r="N119" i="3" s="1"/>
  <c r="N175" i="3"/>
  <c r="N177" i="3" s="1"/>
  <c r="W25" i="3"/>
  <c r="O170" i="3"/>
  <c r="O94" i="3" s="1"/>
  <c r="P167" i="3"/>
  <c r="P168" i="3" s="1"/>
  <c r="P170" i="3" l="1"/>
  <c r="P94" i="3" s="1"/>
  <c r="Q167" i="3"/>
  <c r="Q168" i="3" s="1"/>
  <c r="W27" i="3"/>
  <c r="W28" i="3"/>
  <c r="W30" i="3" s="1"/>
  <c r="W29" i="3"/>
  <c r="W31" i="3" s="1"/>
  <c r="O76" i="3"/>
  <c r="O98" i="3"/>
  <c r="O103" i="3" s="1"/>
  <c r="O119" i="3" s="1"/>
  <c r="O175" i="3"/>
  <c r="O177" i="3" s="1"/>
  <c r="P175" i="3" l="1"/>
  <c r="P177" i="3" s="1"/>
  <c r="P98" i="3"/>
  <c r="P103" i="3" s="1"/>
  <c r="P119" i="3" s="1"/>
  <c r="P76" i="3"/>
  <c r="Q170" i="3"/>
  <c r="Q94" i="3" s="1"/>
  <c r="R168" i="3"/>
  <c r="Q175" i="3" l="1"/>
  <c r="Q177" i="3" s="1"/>
  <c r="Q76" i="3"/>
  <c r="Q98" i="3"/>
  <c r="Q103" i="3" s="1"/>
  <c r="Q119" i="3" s="1"/>
  <c r="R94" i="3"/>
  <c r="R170" i="3"/>
  <c r="R76" i="3" l="1"/>
  <c r="R175" i="3"/>
  <c r="R177" i="3" s="1"/>
  <c r="R98" i="3"/>
  <c r="R103" i="3" s="1"/>
  <c r="R119" i="3" s="1"/>
  <c r="W7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indexed="81"/>
            <rFont val="Tahoma"/>
            <family val="2"/>
          </rPr>
          <t xml:space="preserve">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W73" authorId="0" shapeId="0" xr:uid="{4A8C62BC-0161-41D5-B168-8A39C9AEAE2C}">
      <text>
        <r>
          <rPr>
            <b/>
            <sz val="9"/>
            <color indexed="81"/>
            <rFont val="Tahoma"/>
            <family val="2"/>
          </rPr>
          <t>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W75" authorId="0" shapeId="0" xr:uid="{31EB3E07-8D54-47D7-AC44-3904EE0C779A}">
      <text>
        <r>
          <rPr>
            <b/>
            <sz val="9"/>
            <color indexed="81"/>
            <rFont val="Tahoma"/>
            <family val="2"/>
          </rPr>
          <t>4Q2018 Earnings call guidance:</t>
        </r>
        <r>
          <rPr>
            <sz val="9"/>
            <color indexed="81"/>
            <rFont val="Tahoma"/>
            <family val="2"/>
          </rPr>
          <t xml:space="preserve"> "we expect that our 2019 tax rate will be a few percentage points higher than our 2018 rate."</t>
        </r>
      </text>
    </comment>
    <comment ref="F116" authorId="0" shapeId="0" xr:uid="{9ABAE26A-F3AF-46A2-B58B-FAC96DEECFAA}">
      <text>
        <r>
          <rPr>
            <sz val="9"/>
            <color indexed="81"/>
            <rFont val="Tahoma"/>
            <family val="2"/>
          </rPr>
          <t>Adjusted for ASU 2016-09</t>
        </r>
      </text>
    </comment>
    <comment ref="B127" authorId="0" shapeId="0" xr:uid="{B2B9A67E-D66C-434E-A5CC-DD9B8240C6E8}">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G167" authorId="0" shapeId="0" xr:uid="{7E71E24B-C793-4B17-B220-91B11437F843}">
      <text>
        <r>
          <rPr>
            <b/>
            <sz val="9"/>
            <color indexed="81"/>
            <rFont val="Tahoma"/>
            <family val="2"/>
          </rPr>
          <t>Adjusted for ASU 2016-09</t>
        </r>
      </text>
    </comment>
    <comment ref="H167" authorId="0" shapeId="0" xr:uid="{CBB43C0D-65E2-47F7-8F6C-DAB5B42D5094}">
      <text>
        <r>
          <rPr>
            <b/>
            <sz val="9"/>
            <color indexed="81"/>
            <rFont val="Tahoma"/>
            <family val="2"/>
          </rPr>
          <t>Adjusted for ASU 2016-09</t>
        </r>
      </text>
    </comment>
    <comment ref="I167" authorId="0" shapeId="0" xr:uid="{07895E27-00A3-4EEA-838A-D676E7F82469}">
      <text>
        <r>
          <rPr>
            <sz val="9"/>
            <color indexed="81"/>
            <rFont val="Tahoma"/>
            <family val="2"/>
          </rPr>
          <t>*Prior-period information has been retrospectively adjusted due to our adoption of ASU No. 2016-18, Statement of Cash Flows, Restricted Cash (Topic 230) on January 1, 2018.</t>
        </r>
      </text>
    </comment>
    <comment ref="B171" authorId="0" shapeId="0" xr:uid="{FA95C4A7-0B69-4F13-92E4-DBC34B46CEE3}">
      <text>
        <r>
          <rPr>
            <sz val="9"/>
            <color indexed="81"/>
            <rFont val="Tahoma"/>
            <family val="2"/>
          </rPr>
          <t>Cash Flow from Operations - Capital Expenditures + After tax Interest Expense</t>
        </r>
      </text>
    </comment>
  </commentList>
</comments>
</file>

<file path=xl/sharedStrings.xml><?xml version="1.0" encoding="utf-8"?>
<sst xmlns="http://schemas.openxmlformats.org/spreadsheetml/2006/main" count="946" uniqueCount="303">
  <si>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</si>
  <si>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</si>
  <si>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</si>
  <si>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</si>
  <si>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</si>
  <si>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</si>
  <si>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</si>
  <si>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</si>
  <si>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</si>
  <si>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</si>
  <si>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</si>
  <si>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</si>
  <si>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</si>
  <si>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</si>
  <si>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</si>
  <si>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</si>
  <si>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</si>
  <si>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</si>
  <si>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</si>
  <si>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</si>
  <si>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</si>
  <si>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</si>
  <si>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</si>
  <si>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</si>
  <si>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</si>
  <si>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</si>
  <si>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</si>
  <si>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</si>
  <si>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</si>
  <si>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</si>
  <si>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</si>
  <si>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</si>
  <si>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</si>
  <si>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</si>
  <si>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</si>
  <si>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</si>
  <si>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</si>
  <si>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</si>
  <si>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</si>
  <si>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</si>
  <si>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</si>
  <si>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Cash and equivalents</t>
  </si>
  <si>
    <t>Goodwill</t>
  </si>
  <si>
    <t>Accounts payable</t>
  </si>
  <si>
    <t>Other non-current liabilities</t>
  </si>
  <si>
    <t xml:space="preserve">Retained earnings </t>
  </si>
  <si>
    <t>Total shareholders' equity</t>
  </si>
  <si>
    <t>Beta (relative to the S&amp;P500)</t>
  </si>
  <si>
    <t>Revenue growth (in perpetuity)</t>
  </si>
  <si>
    <t>Constant CFO growth rate</t>
  </si>
  <si>
    <t>DCF Valuation</t>
  </si>
  <si>
    <t xml:space="preserve">Net income </t>
  </si>
  <si>
    <t xml:space="preserve">Basic EPS </t>
  </si>
  <si>
    <t xml:space="preserve">Diluted EPS </t>
  </si>
  <si>
    <t>P/E 3-month high</t>
  </si>
  <si>
    <t>P/E 3-month low</t>
  </si>
  <si>
    <t>DCF Period (approximate number of years)</t>
  </si>
  <si>
    <t xml:space="preserve">Plus cash/(debt) per share </t>
  </si>
  <si>
    <t>Implied P/E 12-month target value</t>
  </si>
  <si>
    <t>Implied DCF 12-month target value</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</si>
  <si>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</si>
  <si>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</si>
  <si>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</si>
  <si>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</si>
  <si>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</si>
  <si>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</si>
  <si>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</si>
  <si>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 xml:space="preserve">Net Cash and investments per share </t>
  </si>
  <si>
    <t>Days sales outstanding</t>
  </si>
  <si>
    <t>Payables turnover</t>
  </si>
  <si>
    <t>Share Count Analysis</t>
  </si>
  <si>
    <t>Net Cash from Operations growth rate (YoY)</t>
  </si>
  <si>
    <t>Revenue</t>
  </si>
  <si>
    <t>Mean monthly return</t>
  </si>
  <si>
    <t xml:space="preserve">Standard deviation </t>
  </si>
  <si>
    <t>Implied upper bound</t>
  </si>
  <si>
    <t>Implied Lower bound</t>
  </si>
  <si>
    <t>Implied target value</t>
  </si>
  <si>
    <t>Implied 50/50 average target value</t>
  </si>
  <si>
    <t xml:space="preserve">Implied target price band </t>
  </si>
  <si>
    <t>Total Revenue</t>
  </si>
  <si>
    <t>Operating expenses:</t>
  </si>
  <si>
    <t>Total operating income/(loss)</t>
  </si>
  <si>
    <t>Income/(loss) before income tax</t>
  </si>
  <si>
    <t>Deferred income taxes</t>
  </si>
  <si>
    <t>Other long-term assets</t>
  </si>
  <si>
    <t>Additional paid-in capital</t>
  </si>
  <si>
    <t xml:space="preserve">Depreciation and amortization </t>
  </si>
  <si>
    <t>Changes in operating assets and liabilities, net of the effects</t>
  </si>
  <si>
    <t>Depreciation &amp; amortization-to-average P&amp;E</t>
  </si>
  <si>
    <t>Prepaid expenses and other current assets</t>
  </si>
  <si>
    <t>Free Cash Flow to Firm (FCFF)</t>
  </si>
  <si>
    <t>Total Debt</t>
  </si>
  <si>
    <t xml:space="preserve">Cash and investments </t>
  </si>
  <si>
    <t xml:space="preserve">Adjusted net cash  per share </t>
  </si>
  <si>
    <t>Non-GAAP Adjustments</t>
  </si>
  <si>
    <t>Cash Flow Statement Ratios</t>
  </si>
  <si>
    <t>Capex to revenue</t>
  </si>
  <si>
    <t>Equity</t>
  </si>
  <si>
    <t>Average CapEx (% of sales)</t>
  </si>
  <si>
    <t>Weighted Average Cost of Capital (WACC) Inputs</t>
  </si>
  <si>
    <t>Stage 1 WACC</t>
  </si>
  <si>
    <t>Share-based compensation to revenue</t>
  </si>
  <si>
    <t>NPV of Stage 1 cash flows</t>
  </si>
  <si>
    <t>PV of terminal value (Stage 2)</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</si>
  <si>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</si>
  <si>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</si>
  <si>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</si>
  <si>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</si>
  <si>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</si>
  <si>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</si>
  <si>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</si>
  <si>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</si>
  <si>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</si>
  <si>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</si>
  <si>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</si>
  <si>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</si>
  <si>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</si>
  <si>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</si>
  <si>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</si>
  <si>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</si>
  <si>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</si>
  <si>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r>
      <rPr>
        <b/>
        <sz val="11"/>
        <color theme="1"/>
        <rFont val="Calibri"/>
        <family val="2"/>
        <scheme val="minor"/>
      </rPr>
      <t>Last updated:</t>
    </r>
    <r>
      <rPr>
        <sz val="11"/>
        <color theme="1"/>
        <rFont val="Calibri"/>
        <family val="2"/>
        <scheme val="minor"/>
      </rPr>
      <t xml:space="preserve"> 2/14/2018</t>
    </r>
  </si>
  <si>
    <t>Target share price</t>
  </si>
  <si>
    <t>Estimate of Risk Free (future 10yr UST)</t>
  </si>
  <si>
    <t>Segment Data</t>
  </si>
  <si>
    <t>Reconciliation</t>
  </si>
  <si>
    <t>P/E 3-month average</t>
  </si>
  <si>
    <t>Adjustments</t>
  </si>
  <si>
    <t>Constant market Sharpe ratio</t>
  </si>
  <si>
    <t>S&amp;P500 implied volatility</t>
  </si>
  <si>
    <t>Constant Growth Stage Assumptions</t>
  </si>
  <si>
    <t>Stage 2 Long-Term WACC</t>
  </si>
  <si>
    <t>Risk Estimation Summary</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</si>
  <si>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</si>
  <si>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</si>
  <si>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</si>
  <si>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</si>
  <si>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</si>
  <si>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</si>
  <si>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</si>
  <si>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</si>
  <si>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</si>
  <si>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</si>
  <si>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</si>
  <si>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</si>
  <si>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</si>
  <si>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</si>
  <si>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</si>
  <si>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</si>
  <si>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</si>
  <si>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</si>
  <si>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</si>
  <si>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</si>
  <si>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</si>
  <si>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</si>
  <si>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</si>
  <si>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</si>
  <si>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</si>
  <si>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</si>
  <si>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</si>
  <si>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</si>
  <si>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</si>
  <si>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</si>
  <si>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</si>
  <si>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</si>
  <si>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</si>
  <si>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</si>
  <si>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</si>
  <si>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</si>
  <si>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</si>
  <si>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</si>
  <si>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</si>
  <si>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March-22</t>
  </si>
  <si>
    <t>June-22</t>
  </si>
  <si>
    <t>Sept-22</t>
  </si>
  <si>
    <t>Dec-22</t>
  </si>
  <si>
    <t>March-23</t>
  </si>
  <si>
    <t>June-23</t>
  </si>
  <si>
    <t>Sept-23</t>
  </si>
  <si>
    <t>Dec-23</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</si>
  <si>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</si>
  <si>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</si>
  <si>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</si>
  <si>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</si>
  <si>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</si>
  <si>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</si>
  <si>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</si>
  <si>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</si>
  <si>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</si>
  <si>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Facebook Balance Sheet</t>
  </si>
  <si>
    <t>Facebook Cash Flow Statement</t>
  </si>
  <si>
    <t>Sales by Geography</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</si>
  <si>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</si>
  <si>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</si>
  <si>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</si>
  <si>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</si>
  <si>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</si>
  <si>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</si>
  <si>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</si>
  <si>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</si>
  <si>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</si>
  <si>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</si>
  <si>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</si>
  <si>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</si>
  <si>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</si>
  <si>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U.S. and Canada ($)</t>
  </si>
  <si>
    <t>ARPU - Europe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</si>
  <si>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</si>
  <si>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</si>
  <si>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</si>
  <si>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</si>
  <si>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</si>
  <si>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</si>
  <si>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</si>
  <si>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</si>
  <si>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</si>
  <si>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</si>
  <si>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</si>
  <si>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</si>
  <si>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Lease abandonment</t>
  </si>
  <si>
    <t>Share-based compensation expense</t>
  </si>
  <si>
    <t>Tax benefit from share-based award activity</t>
  </si>
  <si>
    <t>Excess tax benefit from share-based award activity</t>
  </si>
  <si>
    <t>Other</t>
  </si>
  <si>
    <t>Accounts receivable</t>
  </si>
  <si>
    <t>Other assets</t>
  </si>
  <si>
    <t>Developer partners payable</t>
  </si>
  <si>
    <t>Accrued expenses and other current liabilities</t>
  </si>
  <si>
    <t>Deferred revenue and deposits</t>
  </si>
  <si>
    <t>Other liabilities</t>
  </si>
  <si>
    <t>Purchase of PPE</t>
  </si>
  <si>
    <t>Purchase and sale of securities (net)</t>
  </si>
  <si>
    <t>Payments made for acquisitions</t>
  </si>
  <si>
    <t>Other investing activities</t>
  </si>
  <si>
    <t>Taxes paid for net share settlement of equity awards</t>
  </si>
  <si>
    <t>Proceeds from exercise of stock options</t>
  </si>
  <si>
    <t>Principal payments on capital lease obligations</t>
  </si>
  <si>
    <t>Repurchase of common stock</t>
  </si>
  <si>
    <t>Other financing activities</t>
  </si>
  <si>
    <t>Cash and equivalents at end of period (BS)</t>
  </si>
  <si>
    <t>Effect of exchange rate changes &amp; restricted cash</t>
  </si>
  <si>
    <t>Restricted cash included in current and other assets</t>
  </si>
  <si>
    <t>Marketable securities</t>
  </si>
  <si>
    <t>Property and equipment, net</t>
  </si>
  <si>
    <t>Intangible assets, net</t>
  </si>
  <si>
    <t>Partners payable</t>
  </si>
  <si>
    <t xml:space="preserve">Accrued expenses and other current </t>
  </si>
  <si>
    <t>Accumulated other comprehensive loss</t>
  </si>
  <si>
    <t>Day Count (assume 90 days)</t>
  </si>
  <si>
    <t>Marketable securities as a percentage of assets</t>
  </si>
  <si>
    <t>Interest income as a % of investments and cash</t>
  </si>
  <si>
    <t>Growth in opex (YoY, inc cost of sales)</t>
  </si>
  <si>
    <t>FRED Graph Observations</t>
  </si>
  <si>
    <t>Federal Reserve Economic Data</t>
  </si>
  <si>
    <t>Link: https://fred.stlouisfed.org</t>
  </si>
  <si>
    <t>Help: https://fred.stlouisfed.org/help-faq</t>
  </si>
  <si>
    <t>Economic Research Division</t>
  </si>
  <si>
    <t>Federal Reserve Bank of St. Louis</t>
  </si>
  <si>
    <t>DEXUSEU</t>
  </si>
  <si>
    <t>U.S. / Euro Foreign Exchange Rate, U.S. Dollars to One Euro, Daily, Not Seasonally Adjusted</t>
  </si>
  <si>
    <t>Frequency: Daily</t>
  </si>
  <si>
    <t>observation_date</t>
  </si>
  <si>
    <t>https://fred.stlouisfed.org/series/DEXUSEU</t>
  </si>
  <si>
    <t>Revenue growth rate (GAAP, YoY)</t>
  </si>
  <si>
    <t>Revenue growth rate (GAAP, QoQ)</t>
  </si>
  <si>
    <t>Revenue growth YoY (2019 Constant Currency)</t>
  </si>
  <si>
    <t>Revenue growth QoQ (2019 Constant Currency)</t>
  </si>
  <si>
    <t>Blue cells = Gutenberg estimates (last updated 2/10/2019)</t>
  </si>
  <si>
    <t>Orange cells = Consensus estimates (last updated 2/10/2019)</t>
  </si>
  <si>
    <t>Revenue Constant Currency (Non-GAAP)</t>
  </si>
  <si>
    <t>Purple cells = Company guidance (updated 1/30/2019)</t>
  </si>
  <si>
    <r>
      <t xml:space="preserve">Last updated: </t>
    </r>
    <r>
      <rPr>
        <sz val="11"/>
        <color theme="1"/>
        <rFont val="Calibri"/>
        <family val="2"/>
        <scheme val="minor"/>
      </rPr>
      <t>2/11/2019</t>
    </r>
  </si>
  <si>
    <t>1Q19E</t>
  </si>
  <si>
    <t>2Q19E</t>
  </si>
  <si>
    <t>3Q19E</t>
  </si>
  <si>
    <t>4Q19E</t>
  </si>
  <si>
    <t>2019E</t>
  </si>
  <si>
    <t>1Q20E</t>
  </si>
  <si>
    <t>2Q20E</t>
  </si>
  <si>
    <t>3Q20E</t>
  </si>
  <si>
    <t>4Q20E</t>
  </si>
  <si>
    <t>2020E</t>
  </si>
  <si>
    <t>1Q21E</t>
  </si>
  <si>
    <t>2Q21E</t>
  </si>
  <si>
    <t>3Q21E</t>
  </si>
  <si>
    <t>4Q21E</t>
  </si>
  <si>
    <t>2021E</t>
  </si>
  <si>
    <t>1Q22E</t>
  </si>
  <si>
    <t>2Q22E</t>
  </si>
  <si>
    <t>3Q22E</t>
  </si>
  <si>
    <t>4Q22E</t>
  </si>
  <si>
    <t>2022E</t>
  </si>
  <si>
    <t>1Q23E</t>
  </si>
  <si>
    <t>2Q23E</t>
  </si>
  <si>
    <t>3Q23E</t>
  </si>
  <si>
    <t>4Q23E</t>
  </si>
  <si>
    <t>2023E</t>
  </si>
  <si>
    <t xml:space="preserve">MAU - U.S. and Canada (M, left side of chart) </t>
  </si>
  <si>
    <t>ARPU - U.S. and Canada ($, right side of chart)</t>
  </si>
  <si>
    <t>MAU - Europe  (M, left side of chart)</t>
  </si>
  <si>
    <t>ARPU - Europe ($, right side of chart)</t>
  </si>
  <si>
    <t>Included in Premium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</si>
</sst>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0.0\x"/>
    <numFmt numFmtId="226" formatCode="0.00000"/>
    <numFmt numFmtId="227" formatCode="yyyy\-mm\-dd"/>
    <numFmt numFmtId="228" formatCode="0.0000"/>
  </numFmts>
  <fonts count="8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i/>
      <sz val="11"/>
      <color theme="1"/>
      <name val="Calibri"/>
      <family val="2"/>
      <scheme val="minor"/>
    </font>
    <font>
      <i/>
      <sz val="8"/>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i/>
      <sz val="11"/>
      <name val="Calibri"/>
      <family val="2"/>
      <scheme val="minor"/>
    </font>
    <font>
      <b/>
      <i/>
      <sz val="11"/>
      <color theme="1" tint="0.14999847407452621"/>
      <name val="Calibri"/>
      <family val="2"/>
      <scheme val="minor"/>
    </font>
  </fonts>
  <fills count="15">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59999389629810485"/>
        <bgColor indexed="64"/>
      </patternFill>
    </fill>
  </fills>
  <borders count="4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433">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0" fillId="0" borderId="0" xfId="0"/>
    <xf numFmtId="0" fontId="2" fillId="0" borderId="0" xfId="0" applyFont="1" applyAlignment="1">
      <alignment horizontal="left"/>
    </xf>
    <xf numFmtId="0" fontId="0" fillId="0" borderId="0" xfId="0" applyFill="1" applyBorder="1"/>
    <xf numFmtId="0" fontId="0" fillId="0" borderId="0" xfId="0" applyFill="1" applyAlignment="1">
      <alignment horizontal="center" textRotation="90"/>
    </xf>
    <xf numFmtId="165" fontId="0" fillId="0" borderId="0" xfId="1" applyNumberFormat="1" applyFont="1" applyFill="1" applyBorder="1"/>
    <xf numFmtId="164" fontId="6" fillId="0" borderId="0" xfId="1" quotePrefix="1" applyNumberFormat="1" applyFont="1" applyFill="1" applyBorder="1" applyAlignment="1">
      <alignment horizontal="left"/>
    </xf>
    <xf numFmtId="164" fontId="6"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43" fontId="55" fillId="0" borderId="9" xfId="1" applyNumberFormat="1" applyFont="1" applyFill="1" applyBorder="1" applyAlignment="1">
      <alignment horizontal="right"/>
    </xf>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5" fontId="4" fillId="0" borderId="0" xfId="1" applyNumberFormat="1" applyFont="1" applyFill="1" applyBorder="1" applyAlignment="1">
      <alignment horizontal="right"/>
    </xf>
    <xf numFmtId="165" fontId="4" fillId="0" borderId="5" xfId="1" applyNumberFormat="1" applyFont="1" applyBorder="1" applyAlignment="1">
      <alignment horizontal="right"/>
    </xf>
    <xf numFmtId="0" fontId="55" fillId="0" borderId="0" xfId="0" applyFont="1" applyFill="1" applyBorder="1" applyAlignment="1">
      <alignment horizontal="left"/>
    </xf>
    <xf numFmtId="164" fontId="57" fillId="0" borderId="0" xfId="1" quotePrefix="1" applyNumberFormat="1" applyFont="1" applyFill="1" applyBorder="1" applyAlignment="1">
      <alignment horizontal="right"/>
    </xf>
    <xf numFmtId="164" fontId="57" fillId="0" borderId="0" xfId="1" quotePrefix="1" applyNumberFormat="1" applyFont="1" applyBorder="1" applyAlignment="1">
      <alignment horizontal="right"/>
    </xf>
    <xf numFmtId="164" fontId="57" fillId="0" borderId="5" xfId="1" quotePrefix="1" applyNumberFormat="1" applyFont="1" applyFill="1" applyBorder="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5" fillId="0" borderId="0" xfId="0" applyFont="1"/>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164" fontId="4" fillId="0" borderId="0" xfId="1" applyNumberFormat="1" applyFont="1" applyFill="1" applyAlignment="1">
      <alignment horizontal="right"/>
    </xf>
    <xf numFmtId="164" fontId="55"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5" fillId="0" borderId="0" xfId="1" quotePrefix="1" applyNumberFormat="1" applyFont="1" applyBorder="1" applyAlignment="1">
      <alignment horizontal="right"/>
    </xf>
    <xf numFmtId="43" fontId="55" fillId="0" borderId="0" xfId="1" quotePrefix="1" applyNumberFormat="1" applyFont="1" applyFill="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0" xfId="1" applyNumberFormat="1" applyFont="1" applyBorder="1" applyAlignment="1">
      <alignment horizontal="right"/>
    </xf>
    <xf numFmtId="165" fontId="4" fillId="0" borderId="31" xfId="1" applyNumberFormat="1" applyFont="1" applyBorder="1" applyAlignment="1">
      <alignment horizontal="right"/>
    </xf>
    <xf numFmtId="166" fontId="4" fillId="0" borderId="5" xfId="2" quotePrefix="1" applyNumberFormat="1" applyFont="1" applyBorder="1" applyAlignment="1">
      <alignment horizontal="right"/>
    </xf>
    <xf numFmtId="0" fontId="58"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7" fillId="0" borderId="2" xfId="1" quotePrefix="1" applyNumberFormat="1" applyFont="1" applyFill="1" applyBorder="1" applyAlignment="1">
      <alignment horizontal="right"/>
    </xf>
    <xf numFmtId="9" fontId="55"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4" fillId="3" borderId="0" xfId="1" quotePrefix="1" applyNumberFormat="1" applyFont="1" applyFill="1" applyBorder="1" applyAlignment="1">
      <alignment horizontal="right"/>
    </xf>
    <xf numFmtId="164" fontId="59" fillId="2" borderId="2" xfId="1" quotePrefix="1" applyNumberFormat="1" applyFont="1" applyFill="1" applyBorder="1" applyAlignment="1">
      <alignment horizontal="right"/>
    </xf>
    <xf numFmtId="164" fontId="60"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3" fillId="0" borderId="0" xfId="1" applyNumberFormat="1" applyFont="1" applyBorder="1" applyAlignment="1">
      <alignment horizontal="right"/>
    </xf>
    <xf numFmtId="165" fontId="63" fillId="0" borderId="5" xfId="1" applyNumberFormat="1" applyFont="1" applyBorder="1" applyAlignment="1">
      <alignment horizontal="right"/>
    </xf>
    <xf numFmtId="0" fontId="64" fillId="0" borderId="3" xfId="0" applyFont="1" applyBorder="1" applyAlignment="1">
      <alignment horizontal="left"/>
    </xf>
    <xf numFmtId="0" fontId="4" fillId="0" borderId="4" xfId="0" applyFont="1" applyBorder="1" applyAlignment="1"/>
    <xf numFmtId="0" fontId="55" fillId="0" borderId="4" xfId="0" applyFont="1" applyBorder="1" applyAlignment="1"/>
    <xf numFmtId="165" fontId="66" fillId="0" borderId="0" xfId="1" applyNumberFormat="1" applyFont="1" applyBorder="1" applyAlignment="1">
      <alignment horizontal="right"/>
    </xf>
    <xf numFmtId="165" fontId="66" fillId="0" borderId="5" xfId="1" applyNumberFormat="1" applyFont="1" applyBorder="1" applyAlignment="1">
      <alignment horizontal="right"/>
    </xf>
    <xf numFmtId="165" fontId="63" fillId="0" borderId="0" xfId="1" applyNumberFormat="1" applyFont="1" applyFill="1" applyBorder="1" applyAlignment="1">
      <alignment horizontal="right"/>
    </xf>
    <xf numFmtId="165" fontId="66" fillId="0" borderId="0" xfId="1" applyNumberFormat="1" applyFont="1" applyFill="1" applyBorder="1" applyAlignment="1">
      <alignment horizontal="right"/>
    </xf>
    <xf numFmtId="0" fontId="65" fillId="0" borderId="4" xfId="0" applyFont="1" applyBorder="1" applyAlignment="1"/>
    <xf numFmtId="165" fontId="54" fillId="0" borderId="0" xfId="1" applyNumberFormat="1" applyFont="1" applyFill="1" applyBorder="1" applyAlignment="1">
      <alignment horizontal="right"/>
    </xf>
    <xf numFmtId="165" fontId="54" fillId="0" borderId="5" xfId="1" applyNumberFormat="1" applyFont="1" applyFill="1" applyBorder="1" applyAlignment="1">
      <alignment horizontal="right"/>
    </xf>
    <xf numFmtId="0" fontId="65" fillId="0" borderId="0" xfId="0" applyFont="1"/>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165" fontId="65" fillId="0" borderId="0" xfId="1" applyNumberFormat="1" applyFont="1" applyFill="1" applyBorder="1" applyAlignment="1">
      <alignment horizontal="right"/>
    </xf>
    <xf numFmtId="165" fontId="65" fillId="0" borderId="5" xfId="1" applyNumberFormat="1" applyFont="1" applyFill="1" applyBorder="1" applyAlignment="1">
      <alignment horizontal="right"/>
    </xf>
    <xf numFmtId="0" fontId="63" fillId="0" borderId="0" xfId="0" applyFont="1"/>
    <xf numFmtId="165" fontId="63" fillId="0" borderId="5" xfId="1" applyNumberFormat="1" applyFont="1" applyFill="1" applyBorder="1" applyAlignment="1">
      <alignment horizontal="right"/>
    </xf>
    <xf numFmtId="43" fontId="65" fillId="0" borderId="0" xfId="1" applyNumberFormat="1" applyFont="1" applyFill="1" applyBorder="1" applyAlignment="1">
      <alignment horizontal="right"/>
    </xf>
    <xf numFmtId="43" fontId="65" fillId="0" borderId="5" xfId="1" applyNumberFormat="1" applyFont="1" applyFill="1" applyBorder="1" applyAlignment="1">
      <alignment horizontal="right"/>
    </xf>
    <xf numFmtId="43" fontId="63" fillId="0" borderId="0" xfId="1" applyNumberFormat="1" applyFont="1" applyFill="1" applyBorder="1" applyAlignment="1">
      <alignment horizontal="right"/>
    </xf>
    <xf numFmtId="0" fontId="63" fillId="0" borderId="0" xfId="0" applyFont="1" applyFill="1" applyBorder="1" applyAlignment="1">
      <alignment horizontal="left"/>
    </xf>
    <xf numFmtId="0" fontId="63" fillId="0" borderId="3" xfId="0" applyFont="1" applyBorder="1" applyAlignment="1">
      <alignment horizontal="left" indent="1"/>
    </xf>
    <xf numFmtId="0" fontId="63" fillId="12" borderId="4" xfId="0" applyFont="1" applyFill="1" applyBorder="1" applyAlignment="1">
      <alignment horizontal="left"/>
    </xf>
    <xf numFmtId="165" fontId="63" fillId="0" borderId="0" xfId="1" quotePrefix="1" applyNumberFormat="1" applyFont="1" applyFill="1" applyBorder="1" applyAlignment="1">
      <alignment horizontal="right"/>
    </xf>
    <xf numFmtId="165" fontId="66" fillId="0" borderId="5" xfId="1" applyNumberFormat="1" applyFont="1" applyFill="1" applyBorder="1" applyAlignment="1">
      <alignment horizontal="right"/>
    </xf>
    <xf numFmtId="165" fontId="65" fillId="0" borderId="7" xfId="1" applyNumberFormat="1" applyFont="1" applyBorder="1" applyAlignment="1">
      <alignment horizontal="right"/>
    </xf>
    <xf numFmtId="165" fontId="65" fillId="0" borderId="8" xfId="1" applyNumberFormat="1" applyFont="1" applyBorder="1" applyAlignment="1">
      <alignment horizontal="right"/>
    </xf>
    <xf numFmtId="165" fontId="65" fillId="0" borderId="7" xfId="1" applyNumberFormat="1" applyFont="1" applyFill="1" applyBorder="1" applyAlignment="1">
      <alignment horizontal="right"/>
    </xf>
    <xf numFmtId="166" fontId="63" fillId="0" borderId="0" xfId="2" quotePrefix="1" applyNumberFormat="1" applyFont="1" applyFill="1" applyBorder="1" applyAlignment="1">
      <alignment horizontal="right"/>
    </xf>
    <xf numFmtId="165" fontId="63" fillId="0" borderId="5" xfId="1" quotePrefix="1" applyNumberFormat="1" applyFont="1" applyFill="1" applyBorder="1" applyAlignment="1">
      <alignment horizontal="right"/>
    </xf>
    <xf numFmtId="0" fontId="68" fillId="0" borderId="4" xfId="0" applyFont="1" applyFill="1" applyBorder="1" applyAlignment="1">
      <alignment horizontal="left"/>
    </xf>
    <xf numFmtId="0" fontId="63" fillId="12" borderId="3" xfId="0" applyFont="1" applyFill="1" applyBorder="1" applyAlignment="1">
      <alignment horizontal="left"/>
    </xf>
    <xf numFmtId="9" fontId="63" fillId="0" borderId="0" xfId="2" quotePrefix="1" applyFont="1" applyFill="1" applyBorder="1" applyAlignment="1">
      <alignment horizontal="right"/>
    </xf>
    <xf numFmtId="165" fontId="69" fillId="0" borderId="5" xfId="1" quotePrefix="1" applyNumberFormat="1" applyFont="1" applyFill="1" applyBorder="1" applyAlignment="1">
      <alignment horizontal="right"/>
    </xf>
    <xf numFmtId="165" fontId="69" fillId="0" borderId="0" xfId="2" applyNumberFormat="1" applyFont="1" applyFill="1" applyBorder="1" applyAlignment="1">
      <alignment horizontal="right"/>
    </xf>
    <xf numFmtId="166" fontId="63" fillId="0" borderId="0" xfId="2" applyNumberFormat="1" applyFont="1" applyFill="1" applyBorder="1" applyAlignment="1">
      <alignment horizontal="right"/>
    </xf>
    <xf numFmtId="0" fontId="4" fillId="0" borderId="0" xfId="0" applyFont="1" applyFill="1" applyBorder="1"/>
    <xf numFmtId="0" fontId="70" fillId="0" borderId="0" xfId="0" applyFont="1" applyFill="1"/>
    <xf numFmtId="9" fontId="63" fillId="0" borderId="5" xfId="2" applyFont="1" applyBorder="1" applyAlignment="1">
      <alignment horizontal="right"/>
    </xf>
    <xf numFmtId="166" fontId="63" fillId="0" borderId="5" xfId="2" applyNumberFormat="1" applyFont="1" applyBorder="1" applyAlignment="1">
      <alignment horizontal="right"/>
    </xf>
    <xf numFmtId="0" fontId="63" fillId="0" borderId="0" xfId="0" applyFont="1" applyFill="1"/>
    <xf numFmtId="9" fontId="63" fillId="0" borderId="0" xfId="2" applyFont="1" applyBorder="1" applyAlignment="1">
      <alignment horizontal="right"/>
    </xf>
    <xf numFmtId="166" fontId="63" fillId="0" borderId="5" xfId="2" applyNumberFormat="1" applyFont="1" applyFill="1" applyBorder="1" applyAlignment="1">
      <alignment horizontal="right"/>
    </xf>
    <xf numFmtId="0" fontId="63" fillId="0" borderId="3" xfId="0" applyFont="1" applyBorder="1" applyAlignment="1"/>
    <xf numFmtId="164" fontId="63" fillId="0" borderId="0" xfId="1" quotePrefix="1" applyNumberFormat="1" applyFont="1" applyFill="1" applyBorder="1" applyAlignment="1">
      <alignment horizontal="right"/>
    </xf>
    <xf numFmtId="164" fontId="63" fillId="0" borderId="5" xfId="1" quotePrefix="1" applyNumberFormat="1" applyFont="1" applyFill="1" applyBorder="1" applyAlignment="1">
      <alignment horizontal="right"/>
    </xf>
    <xf numFmtId="165" fontId="66" fillId="10" borderId="0" xfId="1" applyNumberFormat="1" applyFont="1" applyFill="1" applyBorder="1" applyAlignment="1">
      <alignment horizontal="right"/>
    </xf>
    <xf numFmtId="9" fontId="63" fillId="0" borderId="5" xfId="2" quotePrefix="1" applyFont="1" applyFill="1" applyBorder="1" applyAlignment="1">
      <alignment horizontal="right"/>
    </xf>
    <xf numFmtId="165" fontId="63" fillId="10" borderId="0" xfId="1" applyNumberFormat="1" applyFont="1" applyFill="1" applyBorder="1" applyAlignment="1">
      <alignment horizontal="right"/>
    </xf>
    <xf numFmtId="9" fontId="63" fillId="10" borderId="0" xfId="2" applyFont="1" applyFill="1" applyBorder="1" applyAlignment="1">
      <alignment horizontal="right"/>
    </xf>
    <xf numFmtId="166" fontId="63" fillId="10" borderId="0" xfId="2" applyNumberFormat="1" applyFont="1" applyFill="1" applyBorder="1" applyAlignment="1">
      <alignment horizontal="right"/>
    </xf>
    <xf numFmtId="165" fontId="55" fillId="0" borderId="9" xfId="1" applyNumberFormat="1" applyFont="1" applyFill="1" applyBorder="1" applyAlignment="1">
      <alignment horizontal="right"/>
    </xf>
    <xf numFmtId="0" fontId="67" fillId="0" borderId="24" xfId="0" applyFont="1" applyFill="1" applyBorder="1" applyAlignment="1">
      <alignment horizontal="left"/>
    </xf>
    <xf numFmtId="7" fontId="63"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3" fillId="10" borderId="0" xfId="1" applyNumberFormat="1" applyFont="1" applyFill="1" applyBorder="1" applyAlignment="1">
      <alignment horizontal="right"/>
    </xf>
    <xf numFmtId="41" fontId="63" fillId="0" borderId="0" xfId="1" quotePrefix="1" applyNumberFormat="1" applyFont="1" applyFill="1" applyBorder="1" applyAlignment="1">
      <alignment horizontal="right"/>
    </xf>
    <xf numFmtId="7" fontId="63" fillId="0" borderId="5" xfId="1" applyNumberFormat="1" applyFont="1" applyFill="1" applyBorder="1" applyAlignment="1">
      <alignment horizontal="right"/>
    </xf>
    <xf numFmtId="164" fontId="63" fillId="0" borderId="7" xfId="1" applyNumberFormat="1" applyFont="1" applyFill="1" applyBorder="1" applyAlignment="1">
      <alignment horizontal="right"/>
    </xf>
    <xf numFmtId="0" fontId="63" fillId="0" borderId="3" xfId="0" applyFont="1" applyFill="1" applyBorder="1"/>
    <xf numFmtId="165" fontId="63" fillId="0" borderId="30" xfId="1" applyNumberFormat="1" applyFont="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0" fontId="63" fillId="0" borderId="3" xfId="0" applyFont="1" applyBorder="1"/>
    <xf numFmtId="165" fontId="63" fillId="0" borderId="7" xfId="1" applyNumberFormat="1" applyFont="1" applyFill="1" applyBorder="1" applyAlignment="1">
      <alignment horizontal="right"/>
    </xf>
    <xf numFmtId="165" fontId="63" fillId="0" borderId="8" xfId="1" applyNumberFormat="1" applyFont="1" applyFill="1" applyBorder="1" applyAlignment="1">
      <alignment horizontal="right"/>
    </xf>
    <xf numFmtId="0" fontId="4" fillId="0" borderId="4" xfId="0" applyFont="1" applyBorder="1" applyAlignment="1">
      <alignment horizontal="left"/>
    </xf>
    <xf numFmtId="0" fontId="63" fillId="0" borderId="3" xfId="0" applyFont="1" applyBorder="1" applyAlignment="1">
      <alignment horizontal="left"/>
    </xf>
    <xf numFmtId="0" fontId="63" fillId="0" borderId="4" xfId="0" applyFont="1" applyBorder="1" applyAlignment="1">
      <alignment horizontal="left"/>
    </xf>
    <xf numFmtId="0" fontId="65" fillId="0" borderId="3" xfId="0" applyFont="1" applyBorder="1" applyAlignment="1">
      <alignment horizontal="left" indent="1"/>
    </xf>
    <xf numFmtId="0" fontId="65" fillId="0" borderId="4" xfId="0" applyFont="1" applyBorder="1" applyAlignment="1">
      <alignment horizontal="left" indent="1"/>
    </xf>
    <xf numFmtId="0" fontId="63" fillId="0" borderId="3" xfId="0" applyFont="1" applyFill="1" applyBorder="1" applyAlignment="1">
      <alignment horizontal="left"/>
    </xf>
    <xf numFmtId="0" fontId="63" fillId="0" borderId="4" xfId="0" applyFont="1" applyFill="1" applyBorder="1" applyAlignment="1">
      <alignment horizontal="left"/>
    </xf>
    <xf numFmtId="0" fontId="62" fillId="2" borderId="3" xfId="0" applyFont="1" applyFill="1" applyBorder="1" applyAlignment="1">
      <alignment horizontal="left"/>
    </xf>
    <xf numFmtId="0" fontId="67" fillId="12" borderId="4" xfId="0" applyFont="1" applyFill="1" applyBorder="1" applyAlignment="1">
      <alignment horizontal="left"/>
    </xf>
    <xf numFmtId="0" fontId="63" fillId="0" borderId="3" xfId="0" applyFont="1" applyFill="1" applyBorder="1" applyAlignment="1">
      <alignment horizontal="left" indent="1"/>
    </xf>
    <xf numFmtId="0" fontId="63" fillId="0" borderId="24" xfId="0" applyFont="1" applyBorder="1" applyAlignment="1">
      <alignment horizontal="left"/>
    </xf>
    <xf numFmtId="0" fontId="63" fillId="0" borderId="25" xfId="0" applyFont="1" applyBorder="1" applyAlignment="1">
      <alignment horizontal="left"/>
    </xf>
    <xf numFmtId="0" fontId="65" fillId="0" borderId="3" xfId="0" applyFont="1" applyFill="1" applyBorder="1" applyAlignment="1">
      <alignment horizontal="left"/>
    </xf>
    <xf numFmtId="0" fontId="65" fillId="0" borderId="4" xfId="0" applyFont="1" applyFill="1" applyBorder="1" applyAlignment="1">
      <alignment horizontal="left"/>
    </xf>
    <xf numFmtId="0" fontId="63" fillId="0" borderId="3" xfId="0" applyFont="1" applyBorder="1" applyAlignment="1">
      <alignment horizontal="left" indent="2"/>
    </xf>
    <xf numFmtId="0" fontId="63" fillId="0" borderId="6" xfId="0" applyFont="1" applyFill="1" applyBorder="1" applyAlignment="1">
      <alignment horizontal="left"/>
    </xf>
    <xf numFmtId="166" fontId="63" fillId="0" borderId="5" xfId="2" quotePrefix="1" applyNumberFormat="1" applyFont="1" applyBorder="1" applyAlignment="1">
      <alignment horizontal="right"/>
    </xf>
    <xf numFmtId="165" fontId="63" fillId="10" borderId="7" xfId="1" applyNumberFormat="1" applyFont="1" applyFill="1" applyBorder="1" applyAlignment="1">
      <alignment horizontal="right"/>
    </xf>
    <xf numFmtId="0" fontId="63" fillId="0" borderId="25" xfId="0" applyFont="1" applyFill="1" applyBorder="1" applyAlignment="1">
      <alignment horizontal="left"/>
    </xf>
    <xf numFmtId="0" fontId="65" fillId="0" borderId="3" xfId="0" applyFont="1" applyFill="1" applyBorder="1" applyAlignment="1">
      <alignment horizontal="left" indent="2"/>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165" fontId="63" fillId="0" borderId="30" xfId="1" applyNumberFormat="1" applyFont="1" applyFill="1" applyBorder="1" applyAlignment="1">
      <alignment horizontal="right"/>
    </xf>
    <xf numFmtId="165" fontId="63" fillId="0" borderId="31" xfId="1" applyNumberFormat="1" applyFont="1" applyBorder="1" applyAlignment="1">
      <alignment horizontal="right"/>
    </xf>
    <xf numFmtId="165" fontId="63" fillId="12" borderId="30" xfId="1" applyNumberFormat="1" applyFont="1" applyFill="1" applyBorder="1" applyAlignment="1">
      <alignment horizontal="right"/>
    </xf>
    <xf numFmtId="165" fontId="63" fillId="12" borderId="31" xfId="1" applyNumberFormat="1" applyFont="1" applyFill="1" applyBorder="1" applyAlignment="1">
      <alignment horizontal="right"/>
    </xf>
    <xf numFmtId="165" fontId="63" fillId="12" borderId="0" xfId="1" applyNumberFormat="1" applyFont="1" applyFill="1" applyBorder="1" applyAlignment="1">
      <alignment horizontal="right"/>
    </xf>
    <xf numFmtId="165" fontId="63" fillId="12" borderId="5" xfId="1" applyNumberFormat="1" applyFont="1" applyFill="1" applyBorder="1" applyAlignment="1">
      <alignment horizontal="right"/>
    </xf>
    <xf numFmtId="165" fontId="66" fillId="12" borderId="0" xfId="1" applyNumberFormat="1" applyFont="1" applyFill="1" applyBorder="1" applyAlignment="1">
      <alignment horizontal="right"/>
    </xf>
    <xf numFmtId="165" fontId="66" fillId="12" borderId="5" xfId="1" applyNumberFormat="1" applyFont="1" applyFill="1" applyBorder="1" applyAlignment="1">
      <alignment horizontal="right"/>
    </xf>
    <xf numFmtId="165" fontId="63" fillId="12" borderId="29" xfId="1" applyNumberFormat="1" applyFont="1" applyFill="1" applyBorder="1" applyAlignment="1">
      <alignment horizontal="right"/>
    </xf>
    <xf numFmtId="165" fontId="63" fillId="12" borderId="28" xfId="1" applyNumberFormat="1" applyFont="1" applyFill="1" applyBorder="1" applyAlignment="1">
      <alignment horizontal="right"/>
    </xf>
    <xf numFmtId="164" fontId="63" fillId="12" borderId="0" xfId="1" quotePrefix="1" applyNumberFormat="1" applyFont="1" applyFill="1" applyBorder="1" applyAlignment="1">
      <alignment horizontal="right"/>
    </xf>
    <xf numFmtId="43" fontId="63" fillId="12" borderId="0" xfId="1" quotePrefix="1" applyNumberFormat="1" applyFont="1" applyFill="1" applyBorder="1" applyAlignment="1">
      <alignment horizontal="right"/>
    </xf>
    <xf numFmtId="164" fontId="63" fillId="12" borderId="5" xfId="1" quotePrefix="1" applyNumberFormat="1" applyFont="1" applyFill="1" applyBorder="1" applyAlignment="1">
      <alignment horizontal="right"/>
    </xf>
    <xf numFmtId="43" fontId="63" fillId="12" borderId="5" xfId="1" quotePrefix="1" applyNumberFormat="1" applyFont="1" applyFill="1" applyBorder="1" applyAlignment="1">
      <alignment horizontal="right"/>
    </xf>
    <xf numFmtId="9" fontId="63" fillId="12" borderId="5" xfId="2" applyFont="1" applyFill="1" applyBorder="1" applyAlignment="1">
      <alignment horizontal="right"/>
    </xf>
    <xf numFmtId="165" fontId="63" fillId="0" borderId="31" xfId="1" applyNumberFormat="1" applyFont="1" applyFill="1" applyBorder="1" applyAlignment="1">
      <alignment horizontal="right"/>
    </xf>
    <xf numFmtId="164" fontId="59" fillId="2" borderId="32" xfId="1" quotePrefix="1" applyNumberFormat="1" applyFont="1" applyFill="1" applyBorder="1" applyAlignment="1">
      <alignment horizontal="right"/>
    </xf>
    <xf numFmtId="164" fontId="60" fillId="2" borderId="5" xfId="1" quotePrefix="1" applyNumberFormat="1" applyFont="1" applyFill="1" applyBorder="1" applyAlignment="1">
      <alignment horizontal="right"/>
    </xf>
    <xf numFmtId="9" fontId="63"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32"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0" fontId="62" fillId="2" borderId="4" xfId="0" applyFont="1" applyFill="1" applyBorder="1" applyAlignment="1">
      <alignment horizontal="left"/>
    </xf>
    <xf numFmtId="166" fontId="69" fillId="0" borderId="0" xfId="2" applyNumberFormat="1" applyFont="1" applyFill="1" applyBorder="1" applyAlignment="1">
      <alignment horizontal="right"/>
    </xf>
    <xf numFmtId="0" fontId="73" fillId="0" borderId="3" xfId="0" applyFont="1" applyBorder="1"/>
    <xf numFmtId="0" fontId="71" fillId="0" borderId="3" xfId="0" applyFont="1" applyBorder="1"/>
    <xf numFmtId="0" fontId="71" fillId="0" borderId="3" xfId="0" applyFont="1" applyFill="1" applyBorder="1"/>
    <xf numFmtId="0" fontId="72" fillId="0" borderId="12" xfId="0" applyFont="1" applyFill="1" applyBorder="1" applyAlignment="1">
      <alignment horizontal="left" indent="1"/>
    </xf>
    <xf numFmtId="0" fontId="72" fillId="0" borderId="3" xfId="0" applyFont="1" applyFill="1" applyBorder="1" applyAlignment="1">
      <alignment horizontal="left" indent="1"/>
    </xf>
    <xf numFmtId="0" fontId="65" fillId="0" borderId="12" xfId="0" applyFont="1" applyFill="1" applyBorder="1" applyAlignment="1">
      <alignment horizontal="left" indent="1"/>
    </xf>
    <xf numFmtId="0" fontId="67" fillId="0" borderId="3" xfId="0" applyFont="1" applyBorder="1"/>
    <xf numFmtId="166" fontId="63"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3" fillId="0" borderId="4" xfId="1" applyNumberFormat="1" applyFont="1" applyFill="1" applyBorder="1" applyAlignment="1">
      <alignment horizontal="right"/>
    </xf>
    <xf numFmtId="43" fontId="63" fillId="0" borderId="0" xfId="1" applyFont="1" applyFill="1" applyAlignment="1">
      <alignment horizontal="right"/>
    </xf>
    <xf numFmtId="165" fontId="63" fillId="0" borderId="0" xfId="1" applyNumberFormat="1" applyFont="1" applyFill="1" applyAlignment="1">
      <alignment horizontal="right"/>
    </xf>
    <xf numFmtId="166" fontId="63" fillId="0" borderId="0" xfId="2" applyNumberFormat="1" applyFont="1" applyFill="1" applyAlignment="1">
      <alignment horizontal="right"/>
    </xf>
    <xf numFmtId="43" fontId="63" fillId="0" borderId="0" xfId="1" applyNumberFormat="1" applyFont="1" applyFill="1" applyAlignment="1">
      <alignment horizontal="right"/>
    </xf>
    <xf numFmtId="167" fontId="63" fillId="0" borderId="0" xfId="1" applyNumberFormat="1" applyFont="1" applyFill="1" applyAlignment="1">
      <alignment horizontal="right"/>
    </xf>
    <xf numFmtId="166" fontId="63" fillId="0" borderId="0" xfId="1" applyNumberFormat="1" applyFont="1" applyFill="1" applyAlignment="1">
      <alignment horizontal="right"/>
    </xf>
    <xf numFmtId="166" fontId="63" fillId="0" borderId="0" xfId="2" applyNumberFormat="1" applyFont="1"/>
    <xf numFmtId="0" fontId="65" fillId="0" borderId="23" xfId="0" applyFont="1" applyFill="1" applyBorder="1" applyAlignment="1">
      <alignment horizontal="left"/>
    </xf>
    <xf numFmtId="0" fontId="65" fillId="0" borderId="1" xfId="0" applyFont="1" applyFill="1" applyBorder="1" applyAlignment="1">
      <alignment horizontal="left"/>
    </xf>
    <xf numFmtId="0" fontId="63" fillId="0" borderId="1" xfId="0" applyFont="1" applyBorder="1"/>
    <xf numFmtId="0" fontId="0" fillId="0" borderId="0" xfId="0" applyBorder="1"/>
    <xf numFmtId="43" fontId="63" fillId="0" borderId="0" xfId="1" applyNumberFormat="1" applyFont="1" applyFill="1" applyAlignment="1">
      <alignment horizontal="right" wrapText="1"/>
    </xf>
    <xf numFmtId="165" fontId="63" fillId="0" borderId="0" xfId="1" applyNumberFormat="1" applyFont="1" applyFill="1" applyAlignment="1">
      <alignment horizontal="left"/>
    </xf>
    <xf numFmtId="43" fontId="63" fillId="0" borderId="0" xfId="1" applyFont="1" applyFill="1" applyAlignment="1">
      <alignment horizontal="left"/>
    </xf>
    <xf numFmtId="9" fontId="63" fillId="0" borderId="0" xfId="1" applyNumberFormat="1" applyFont="1" applyFill="1" applyAlignment="1">
      <alignment horizontal="right"/>
    </xf>
    <xf numFmtId="0" fontId="0" fillId="0" borderId="0" xfId="0" applyFill="1"/>
    <xf numFmtId="0" fontId="2" fillId="0" borderId="0" xfId="0" applyFont="1" applyFill="1" applyAlignment="1">
      <alignment horizontal="left"/>
    </xf>
    <xf numFmtId="0" fontId="0" fillId="0" borderId="0" xfId="0" applyFill="1" applyAlignment="1">
      <alignment wrapText="1"/>
    </xf>
    <xf numFmtId="0" fontId="2" fillId="0" borderId="0" xfId="0" applyFont="1"/>
    <xf numFmtId="164" fontId="6" fillId="2" borderId="33" xfId="1" quotePrefix="1" applyNumberFormat="1" applyFont="1" applyFill="1" applyBorder="1" applyAlignment="1">
      <alignment horizontal="center" vertical="center" wrapText="1"/>
    </xf>
    <xf numFmtId="0" fontId="0" fillId="0" borderId="40" xfId="0" applyBorder="1"/>
    <xf numFmtId="0" fontId="0" fillId="0" borderId="41" xfId="0" applyBorder="1"/>
    <xf numFmtId="0" fontId="0" fillId="0" borderId="38" xfId="0" applyBorder="1"/>
    <xf numFmtId="14" fontId="0" fillId="0" borderId="40" xfId="0" applyNumberFormat="1" applyBorder="1"/>
    <xf numFmtId="10" fontId="0" fillId="0" borderId="0" xfId="2" applyNumberFormat="1" applyFont="1" applyBorder="1"/>
    <xf numFmtId="10" fontId="0" fillId="0" borderId="0" xfId="0" applyNumberFormat="1" applyBorder="1"/>
    <xf numFmtId="14" fontId="0" fillId="0" borderId="37" xfId="0" applyNumberFormat="1" applyBorder="1"/>
    <xf numFmtId="10" fontId="0" fillId="0" borderId="38" xfId="0" applyNumberFormat="1" applyBorder="1"/>
    <xf numFmtId="0" fontId="0" fillId="0" borderId="35" xfId="0" applyBorder="1"/>
    <xf numFmtId="0" fontId="0" fillId="0" borderId="36" xfId="0" applyBorder="1"/>
    <xf numFmtId="0" fontId="2" fillId="0" borderId="0" xfId="0" applyFont="1" applyBorder="1" applyAlignment="1">
      <alignment horizontal="right"/>
    </xf>
    <xf numFmtId="0" fontId="2" fillId="0" borderId="41" xfId="0" applyFont="1" applyBorder="1"/>
    <xf numFmtId="0" fontId="0" fillId="13" borderId="0" xfId="0" applyFill="1" applyBorder="1"/>
    <xf numFmtId="0" fontId="2" fillId="13" borderId="0" xfId="0" applyFont="1" applyFill="1" applyBorder="1" applyAlignment="1">
      <alignment horizontal="right"/>
    </xf>
    <xf numFmtId="10" fontId="2" fillId="13" borderId="41" xfId="2" applyNumberFormat="1" applyFont="1" applyFill="1" applyBorder="1"/>
    <xf numFmtId="10" fontId="74" fillId="0" borderId="41" xfId="1" applyNumberFormat="1" applyFont="1" applyBorder="1"/>
    <xf numFmtId="0" fontId="74" fillId="0" borderId="0" xfId="0" applyFont="1" applyBorder="1" applyAlignment="1">
      <alignment horizontal="right"/>
    </xf>
    <xf numFmtId="226" fontId="0" fillId="0" borderId="41" xfId="0" applyNumberFormat="1" applyBorder="1"/>
    <xf numFmtId="226" fontId="0" fillId="0" borderId="39" xfId="0" applyNumberFormat="1" applyBorder="1"/>
    <xf numFmtId="164" fontId="4" fillId="0" borderId="0" xfId="1" applyNumberFormat="1" applyFont="1" applyFill="1" applyBorder="1" applyAlignment="1">
      <alignment horizontal="right"/>
    </xf>
    <xf numFmtId="164" fontId="63" fillId="0" borderId="0" xfId="1" applyNumberFormat="1" applyFont="1" applyFill="1" applyAlignment="1">
      <alignment horizontal="left"/>
    </xf>
    <xf numFmtId="0" fontId="75" fillId="0" borderId="0" xfId="0" applyFont="1" applyAlignment="1">
      <alignment horizontal="right"/>
    </xf>
    <xf numFmtId="0" fontId="77" fillId="0" borderId="0" xfId="0" applyFont="1"/>
    <xf numFmtId="165" fontId="77" fillId="0" borderId="0" xfId="1" applyNumberFormat="1" applyFont="1" applyFill="1" applyBorder="1" applyAlignment="1">
      <alignment horizontal="right"/>
    </xf>
    <xf numFmtId="165" fontId="77" fillId="0" borderId="5" xfId="1" applyNumberFormat="1" applyFont="1" applyFill="1" applyBorder="1" applyAlignment="1">
      <alignment horizontal="right"/>
    </xf>
    <xf numFmtId="166" fontId="63" fillId="0" borderId="0" xfId="2" applyNumberFormat="1" applyFont="1" applyFill="1" applyAlignment="1">
      <alignment horizontal="left"/>
    </xf>
    <xf numFmtId="9" fontId="63" fillId="0" borderId="0" xfId="1" applyNumberFormat="1" applyFont="1" applyFill="1" applyAlignment="1">
      <alignment horizontal="left"/>
    </xf>
    <xf numFmtId="10" fontId="63" fillId="0" borderId="0" xfId="1" applyNumberFormat="1" applyFont="1" applyFill="1" applyAlignment="1">
      <alignment horizontal="right"/>
    </xf>
    <xf numFmtId="226" fontId="2" fillId="0" borderId="41" xfId="0" applyNumberFormat="1" applyFont="1" applyBorder="1"/>
    <xf numFmtId="0" fontId="4" fillId="0" borderId="0" xfId="0" applyFont="1" applyFill="1" applyAlignment="1">
      <alignment horizontal="right"/>
    </xf>
    <xf numFmtId="0" fontId="63" fillId="0" borderId="3" xfId="0" applyFont="1" applyBorder="1" applyAlignment="1">
      <alignment horizontal="left"/>
    </xf>
    <xf numFmtId="0" fontId="63" fillId="0" borderId="4" xfId="0" applyFont="1" applyBorder="1" applyAlignment="1">
      <alignment horizontal="left"/>
    </xf>
    <xf numFmtId="0" fontId="65" fillId="0" borderId="3" xfId="0" applyFont="1" applyBorder="1" applyAlignment="1">
      <alignment horizontal="left" indent="2"/>
    </xf>
    <xf numFmtId="0" fontId="63" fillId="0" borderId="3" xfId="0" applyFont="1" applyFill="1" applyBorder="1" applyAlignment="1">
      <alignment horizontal="left"/>
    </xf>
    <xf numFmtId="0" fontId="63" fillId="0" borderId="4" xfId="0" applyFont="1" applyFill="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5" fillId="0" borderId="4" xfId="0" applyFont="1" applyFill="1" applyBorder="1" applyAlignment="1">
      <alignment horizontal="left" indent="1"/>
    </xf>
    <xf numFmtId="0" fontId="0" fillId="0" borderId="37" xfId="0" applyFill="1" applyBorder="1"/>
    <xf numFmtId="0" fontId="0" fillId="0" borderId="38" xfId="0" applyFill="1" applyBorder="1"/>
    <xf numFmtId="0" fontId="2" fillId="0" borderId="38" xfId="0" applyFont="1" applyFill="1" applyBorder="1" applyAlignment="1">
      <alignment horizontal="right"/>
    </xf>
    <xf numFmtId="10" fontId="2" fillId="0" borderId="39" xfId="2" applyNumberFormat="1" applyFont="1" applyFill="1" applyBorder="1"/>
    <xf numFmtId="0" fontId="63" fillId="0" borderId="3" xfId="0" applyFont="1" applyFill="1" applyBorder="1" applyAlignment="1">
      <alignment horizontal="left"/>
    </xf>
    <xf numFmtId="0" fontId="63" fillId="0" borderId="4" xfId="0" applyFont="1" applyFill="1" applyBorder="1" applyAlignment="1">
      <alignment horizontal="left"/>
    </xf>
    <xf numFmtId="0" fontId="63" fillId="0" borderId="6" xfId="0" applyFont="1" applyFill="1" applyBorder="1" applyAlignment="1">
      <alignment horizontal="left"/>
    </xf>
    <xf numFmtId="0" fontId="63" fillId="0" borderId="10" xfId="0" applyFont="1" applyFill="1" applyBorder="1" applyAlignment="1">
      <alignment horizontal="left"/>
    </xf>
    <xf numFmtId="0" fontId="63" fillId="12" borderId="3" xfId="0" applyFont="1" applyFill="1" applyBorder="1" applyAlignment="1">
      <alignment horizontal="left"/>
    </xf>
    <xf numFmtId="0" fontId="63" fillId="12" borderId="4" xfId="0" applyFont="1" applyFill="1" applyBorder="1" applyAlignment="1">
      <alignment horizontal="left"/>
    </xf>
    <xf numFmtId="0" fontId="63" fillId="0" borderId="3" xfId="0" applyFont="1" applyBorder="1" applyAlignment="1">
      <alignment horizontal="left"/>
    </xf>
    <xf numFmtId="0" fontId="63" fillId="0" borderId="4" xfId="0" applyFont="1" applyBorder="1" applyAlignment="1">
      <alignment horizontal="left"/>
    </xf>
    <xf numFmtId="0" fontId="65" fillId="0" borderId="4" xfId="0" applyFont="1" applyFill="1" applyBorder="1" applyAlignment="1">
      <alignment horizontal="left" indent="1"/>
    </xf>
    <xf numFmtId="0" fontId="65" fillId="0" borderId="3" xfId="0" applyFont="1" applyBorder="1" applyAlignment="1">
      <alignment horizontal="left"/>
    </xf>
    <xf numFmtId="0" fontId="65" fillId="0" borderId="4" xfId="0" applyFont="1" applyBorder="1" applyAlignment="1">
      <alignment horizontal="left"/>
    </xf>
    <xf numFmtId="0" fontId="65" fillId="0" borderId="6" xfId="0" applyFont="1" applyFill="1" applyBorder="1"/>
    <xf numFmtId="225" fontId="63" fillId="0" borderId="4" xfId="1" applyNumberFormat="1" applyFont="1" applyFill="1" applyBorder="1" applyAlignment="1">
      <alignment horizontal="right"/>
    </xf>
    <xf numFmtId="0" fontId="63" fillId="0" borderId="6" xfId="0" applyFont="1" applyFill="1" applyBorder="1"/>
    <xf numFmtId="0" fontId="0" fillId="13" borderId="0" xfId="0" applyFill="1"/>
    <xf numFmtId="14" fontId="0" fillId="0" borderId="34" xfId="0" applyNumberFormat="1" applyBorder="1"/>
    <xf numFmtId="0" fontId="65" fillId="0" borderId="3" xfId="0" applyFont="1" applyBorder="1" applyAlignment="1">
      <alignment horizontal="left" indent="3"/>
    </xf>
    <xf numFmtId="0" fontId="65" fillId="0" borderId="3" xfId="0" applyFont="1" applyFill="1" applyBorder="1" applyAlignment="1">
      <alignment horizontal="left" indent="3"/>
    </xf>
    <xf numFmtId="165" fontId="55" fillId="0" borderId="5" xfId="1" quotePrefix="1" applyNumberFormat="1" applyFont="1" applyFill="1" applyBorder="1" applyAlignment="1">
      <alignment horizontal="left" indent="1"/>
    </xf>
    <xf numFmtId="0" fontId="55" fillId="0" borderId="0" xfId="0" applyFont="1" applyFill="1" applyBorder="1" applyAlignment="1">
      <alignment horizontal="left" indent="1"/>
    </xf>
    <xf numFmtId="0" fontId="78" fillId="0" borderId="4" xfId="0" applyFont="1" applyBorder="1" applyAlignment="1">
      <alignment horizontal="left"/>
    </xf>
    <xf numFmtId="0" fontId="63" fillId="0" borderId="4" xfId="0" applyFont="1" applyBorder="1" applyAlignment="1"/>
    <xf numFmtId="9" fontId="55" fillId="0" borderId="5" xfId="2" quotePrefix="1" applyFont="1" applyFill="1" applyBorder="1" applyAlignment="1">
      <alignment horizontal="right"/>
    </xf>
    <xf numFmtId="166" fontId="55" fillId="0" borderId="5" xfId="2" quotePrefix="1" applyNumberFormat="1" applyFont="1" applyBorder="1" applyAlignment="1">
      <alignment horizontal="right"/>
    </xf>
    <xf numFmtId="9" fontId="63" fillId="0" borderId="0" xfId="2" applyFont="1" applyFill="1" applyBorder="1" applyAlignment="1">
      <alignment horizontal="right"/>
    </xf>
    <xf numFmtId="43" fontId="66" fillId="0" borderId="0" xfId="1" applyNumberFormat="1" applyFont="1" applyFill="1" applyBorder="1" applyAlignment="1">
      <alignment horizontal="right"/>
    </xf>
    <xf numFmtId="165" fontId="79" fillId="0" borderId="5" xfId="1" quotePrefix="1" applyNumberFormat="1" applyFont="1" applyFill="1" applyBorder="1" applyAlignment="1">
      <alignment horizontal="right"/>
    </xf>
    <xf numFmtId="41" fontId="66" fillId="0" borderId="0" xfId="1" quotePrefix="1" applyNumberFormat="1" applyFont="1" applyFill="1" applyBorder="1" applyAlignment="1">
      <alignment horizontal="right"/>
    </xf>
    <xf numFmtId="41" fontId="65" fillId="0" borderId="0" xfId="1" quotePrefix="1" applyNumberFormat="1" applyFont="1" applyFill="1" applyBorder="1" applyAlignment="1">
      <alignment horizontal="left" indent="1"/>
    </xf>
    <xf numFmtId="165" fontId="66" fillId="0" borderId="0" xfId="1" applyNumberFormat="1" applyFont="1" applyFill="1" applyAlignment="1">
      <alignment horizontal="right"/>
    </xf>
    <xf numFmtId="164" fontId="63" fillId="0" borderId="8" xfId="1" applyNumberFormat="1" applyFont="1" applyFill="1" applyBorder="1" applyAlignment="1">
      <alignment horizontal="right"/>
    </xf>
    <xf numFmtId="0" fontId="77" fillId="0" borderId="4" xfId="0" applyFont="1" applyFill="1" applyBorder="1" applyAlignment="1">
      <alignment horizontal="left"/>
    </xf>
    <xf numFmtId="165" fontId="64" fillId="0" borderId="5" xfId="1" applyNumberFormat="1" applyFont="1" applyFill="1" applyBorder="1" applyAlignment="1">
      <alignment horizontal="right"/>
    </xf>
    <xf numFmtId="165" fontId="63" fillId="0" borderId="10" xfId="1" applyNumberFormat="1" applyFont="1" applyFill="1" applyBorder="1" applyAlignment="1">
      <alignment horizontal="right"/>
    </xf>
    <xf numFmtId="165" fontId="63" fillId="10" borderId="6" xfId="1" applyNumberFormat="1" applyFont="1" applyFill="1" applyBorder="1" applyAlignment="1">
      <alignment horizontal="right"/>
    </xf>
    <xf numFmtId="165" fontId="63" fillId="10" borderId="10" xfId="1" applyNumberFormat="1" applyFont="1" applyFill="1" applyBorder="1" applyAlignment="1">
      <alignment horizontal="right"/>
    </xf>
    <xf numFmtId="43" fontId="65" fillId="0" borderId="7" xfId="1" applyNumberFormat="1" applyFont="1" applyFill="1" applyBorder="1" applyAlignment="1">
      <alignment horizontal="right"/>
    </xf>
    <xf numFmtId="43" fontId="65" fillId="0" borderId="8" xfId="1" applyNumberFormat="1" applyFont="1" applyFill="1" applyBorder="1" applyAlignment="1">
      <alignment horizontal="right"/>
    </xf>
    <xf numFmtId="0" fontId="63" fillId="0" borderId="3" xfId="0" applyFont="1" applyFill="1" applyBorder="1" applyAlignment="1"/>
    <xf numFmtId="0" fontId="63" fillId="0" borderId="4" xfId="0" applyFont="1" applyFill="1" applyBorder="1" applyAlignment="1"/>
    <xf numFmtId="0" fontId="63" fillId="0" borderId="12" xfId="0" applyFont="1" applyFill="1" applyBorder="1" applyAlignment="1"/>
    <xf numFmtId="0" fontId="63" fillId="0" borderId="13" xfId="0" applyFont="1" applyFill="1" applyBorder="1" applyAlignment="1"/>
    <xf numFmtId="0" fontId="63" fillId="12" borderId="0" xfId="0" applyFont="1" applyFill="1" applyBorder="1" applyAlignment="1">
      <alignment horizontal="left"/>
    </xf>
    <xf numFmtId="0" fontId="63" fillId="12" borderId="28" xfId="1" applyNumberFormat="1" applyFont="1" applyFill="1" applyBorder="1" applyAlignment="1">
      <alignment horizontal="right"/>
    </xf>
    <xf numFmtId="166" fontId="63" fillId="12" borderId="7" xfId="2" quotePrefix="1" applyNumberFormat="1" applyFont="1" applyFill="1" applyBorder="1" applyAlignment="1">
      <alignment horizontal="right"/>
    </xf>
    <xf numFmtId="166" fontId="4" fillId="12" borderId="8" xfId="2" quotePrefix="1" applyNumberFormat="1" applyFont="1" applyFill="1" applyBorder="1" applyAlignment="1">
      <alignment horizontal="right"/>
    </xf>
    <xf numFmtId="9" fontId="63" fillId="12" borderId="0" xfId="2" applyFont="1" applyFill="1" applyBorder="1" applyAlignment="1">
      <alignment horizontal="right"/>
    </xf>
    <xf numFmtId="165" fontId="65" fillId="12" borderId="31" xfId="1" applyNumberFormat="1" applyFont="1" applyFill="1" applyBorder="1" applyAlignment="1">
      <alignment horizontal="right"/>
    </xf>
    <xf numFmtId="9" fontId="63" fillId="0" borderId="5" xfId="2" applyFont="1" applyFill="1" applyBorder="1" applyAlignment="1">
      <alignment horizontal="right"/>
    </xf>
    <xf numFmtId="9" fontId="63" fillId="11" borderId="5" xfId="2" applyFont="1" applyFill="1" applyBorder="1" applyAlignment="1">
      <alignment horizontal="right"/>
    </xf>
    <xf numFmtId="166" fontId="63" fillId="11" borderId="5" xfId="2" applyNumberFormat="1" applyFont="1" applyFill="1" applyBorder="1" applyAlignment="1">
      <alignment horizontal="right"/>
    </xf>
    <xf numFmtId="0" fontId="3" fillId="0" borderId="0" xfId="331"/>
    <xf numFmtId="227" fontId="3" fillId="0" borderId="0" xfId="331" applyNumberFormat="1"/>
    <xf numFmtId="0" fontId="3" fillId="0" borderId="0" xfId="331" applyAlignment="1">
      <alignment horizontal="right"/>
    </xf>
    <xf numFmtId="228" fontId="3" fillId="0" borderId="0" xfId="331" applyNumberFormat="1"/>
    <xf numFmtId="0" fontId="53" fillId="0" borderId="0" xfId="329"/>
    <xf numFmtId="9" fontId="4" fillId="0" borderId="0" xfId="1" applyNumberFormat="1" applyFont="1" applyFill="1"/>
    <xf numFmtId="165" fontId="63" fillId="9" borderId="0" xfId="1" applyNumberFormat="1" applyFont="1" applyFill="1" applyBorder="1" applyAlignment="1">
      <alignment horizontal="right"/>
    </xf>
    <xf numFmtId="9" fontId="4" fillId="0" borderId="0" xfId="1" applyNumberFormat="1" applyFont="1" applyAlignment="1">
      <alignment horizontal="right"/>
    </xf>
    <xf numFmtId="9" fontId="4" fillId="0" borderId="0" xfId="1" applyNumberFormat="1" applyFont="1"/>
    <xf numFmtId="165" fontId="63" fillId="0" borderId="0" xfId="2" applyNumberFormat="1" applyFont="1" applyBorder="1" applyAlignment="1">
      <alignment horizontal="right"/>
    </xf>
    <xf numFmtId="166" fontId="63" fillId="9" borderId="0" xfId="2" applyNumberFormat="1" applyFont="1" applyFill="1" applyBorder="1" applyAlignment="1">
      <alignment horizontal="right"/>
    </xf>
    <xf numFmtId="165" fontId="65" fillId="9" borderId="0" xfId="1" applyNumberFormat="1" applyFont="1" applyFill="1" applyBorder="1" applyAlignment="1">
      <alignment horizontal="right"/>
    </xf>
    <xf numFmtId="43" fontId="65" fillId="9" borderId="7" xfId="1" applyNumberFormat="1" applyFont="1" applyFill="1" applyBorder="1" applyAlignment="1">
      <alignment horizontal="right"/>
    </xf>
    <xf numFmtId="9" fontId="63" fillId="10" borderId="0" xfId="2" applyNumberFormat="1" applyFont="1" applyFill="1" applyBorder="1" applyAlignment="1">
      <alignment horizontal="right"/>
    </xf>
    <xf numFmtId="225" fontId="63" fillId="0" borderId="4" xfId="2" applyNumberFormat="1" applyFont="1" applyFill="1" applyBorder="1" applyAlignment="1">
      <alignment horizontal="right"/>
    </xf>
    <xf numFmtId="10" fontId="2" fillId="13" borderId="0" xfId="0" applyNumberFormat="1" applyFont="1" applyFill="1" applyBorder="1"/>
    <xf numFmtId="165" fontId="0" fillId="0" borderId="35" xfId="1" applyNumberFormat="1" applyFont="1" applyBorder="1"/>
    <xf numFmtId="10" fontId="0" fillId="0" borderId="35" xfId="2" applyNumberFormat="1" applyFont="1" applyBorder="1"/>
    <xf numFmtId="10" fontId="0" fillId="0" borderId="35" xfId="0" applyNumberFormat="1" applyBorder="1"/>
    <xf numFmtId="165" fontId="0" fillId="0" borderId="0" xfId="1" applyNumberFormat="1" applyFont="1" applyBorder="1"/>
    <xf numFmtId="165" fontId="0" fillId="0" borderId="38" xfId="1" applyNumberFormat="1" applyFont="1" applyBorder="1"/>
    <xf numFmtId="10" fontId="0" fillId="0" borderId="38" xfId="2" applyNumberFormat="1" applyFont="1" applyBorder="1"/>
    <xf numFmtId="165" fontId="76" fillId="0" borderId="0" xfId="1" applyNumberFormat="1" applyFont="1" applyFill="1" applyAlignment="1">
      <alignment horizontal="right"/>
    </xf>
    <xf numFmtId="0" fontId="2" fillId="0" borderId="0" xfId="0" applyFont="1" applyFill="1"/>
    <xf numFmtId="164" fontId="54" fillId="0" borderId="0" xfId="1" quotePrefix="1" applyNumberFormat="1" applyFont="1" applyFill="1" applyBorder="1" applyAlignment="1">
      <alignment horizontal="right"/>
    </xf>
    <xf numFmtId="164" fontId="54" fillId="0" borderId="5" xfId="1" quotePrefix="1" applyNumberFormat="1" applyFont="1" applyFill="1" applyBorder="1" applyAlignment="1">
      <alignment horizontal="right"/>
    </xf>
    <xf numFmtId="9" fontId="4" fillId="0" borderId="5" xfId="2" applyFont="1" applyFill="1" applyBorder="1" applyAlignment="1">
      <alignment horizontal="right"/>
    </xf>
    <xf numFmtId="165" fontId="63" fillId="0" borderId="6" xfId="1" applyNumberFormat="1" applyFont="1" applyFill="1" applyBorder="1" applyAlignment="1">
      <alignment horizontal="right"/>
    </xf>
    <xf numFmtId="165" fontId="65" fillId="0" borderId="8" xfId="1" applyNumberFormat="1" applyFont="1" applyFill="1" applyBorder="1" applyAlignment="1">
      <alignment horizontal="right"/>
    </xf>
    <xf numFmtId="166" fontId="63" fillId="0" borderId="7" xfId="2" quotePrefix="1" applyNumberFormat="1" applyFont="1" applyFill="1" applyBorder="1" applyAlignment="1">
      <alignment horizontal="right"/>
    </xf>
    <xf numFmtId="166" fontId="63" fillId="0" borderId="7" xfId="2" applyNumberFormat="1" applyFont="1" applyFill="1" applyBorder="1" applyAlignment="1">
      <alignment horizontal="right"/>
    </xf>
    <xf numFmtId="166" fontId="4" fillId="0" borderId="8" xfId="2" quotePrefix="1" applyNumberFormat="1" applyFont="1" applyFill="1" applyBorder="1" applyAlignment="1">
      <alignment horizontal="right"/>
    </xf>
    <xf numFmtId="165" fontId="4" fillId="0" borderId="5" xfId="1" applyNumberFormat="1" applyFont="1" applyFill="1" applyBorder="1" applyAlignment="1">
      <alignment horizontal="right"/>
    </xf>
    <xf numFmtId="43" fontId="63" fillId="0" borderId="7" xfId="1" applyFont="1" applyFill="1" applyBorder="1" applyAlignment="1">
      <alignment horizontal="right"/>
    </xf>
    <xf numFmtId="43" fontId="63" fillId="0" borderId="8" xfId="1" applyFont="1" applyFill="1" applyBorder="1" applyAlignment="1">
      <alignment horizontal="right"/>
    </xf>
    <xf numFmtId="164" fontId="63" fillId="0" borderId="0" xfId="1" applyNumberFormat="1" applyFont="1" applyFill="1" applyBorder="1" applyAlignment="1">
      <alignment horizontal="right"/>
    </xf>
    <xf numFmtId="164" fontId="63" fillId="0" borderId="5" xfId="1" applyNumberFormat="1" applyFont="1" applyFill="1" applyBorder="1" applyAlignment="1">
      <alignment horizontal="right"/>
    </xf>
    <xf numFmtId="164" fontId="54" fillId="0" borderId="3" xfId="1" quotePrefix="1" applyNumberFormat="1" applyFont="1" applyFill="1" applyBorder="1" applyAlignment="1">
      <alignment horizontal="right"/>
    </xf>
    <xf numFmtId="164" fontId="63" fillId="0" borderId="3" xfId="1" quotePrefix="1" applyNumberFormat="1" applyFont="1" applyFill="1" applyBorder="1" applyAlignment="1">
      <alignment horizontal="right"/>
    </xf>
    <xf numFmtId="164" fontId="63" fillId="0" borderId="4" xfId="1" quotePrefix="1" applyNumberFormat="1" applyFont="1" applyFill="1" applyBorder="1" applyAlignment="1">
      <alignment horizontal="right"/>
    </xf>
    <xf numFmtId="165" fontId="63" fillId="0" borderId="3" xfId="1" quotePrefix="1" applyNumberFormat="1" applyFont="1" applyFill="1" applyBorder="1" applyAlignment="1">
      <alignment horizontal="right"/>
    </xf>
    <xf numFmtId="165" fontId="63" fillId="0" borderId="4" xfId="1" quotePrefix="1" applyNumberFormat="1" applyFont="1" applyFill="1" applyBorder="1" applyAlignment="1">
      <alignment horizontal="right"/>
    </xf>
    <xf numFmtId="165" fontId="4" fillId="0" borderId="3" xfId="1" applyNumberFormat="1" applyFont="1" applyFill="1" applyBorder="1" applyAlignment="1">
      <alignment horizontal="right"/>
    </xf>
    <xf numFmtId="165" fontId="63" fillId="0" borderId="3" xfId="1" applyNumberFormat="1" applyFont="1" applyFill="1" applyBorder="1" applyAlignment="1">
      <alignment horizontal="right"/>
    </xf>
    <xf numFmtId="165" fontId="66" fillId="0" borderId="3" xfId="1" applyNumberFormat="1" applyFont="1" applyFill="1" applyBorder="1" applyAlignment="1">
      <alignment horizontal="right"/>
    </xf>
    <xf numFmtId="165" fontId="65" fillId="0" borderId="3" xfId="1" applyNumberFormat="1" applyFont="1" applyFill="1" applyBorder="1" applyAlignment="1">
      <alignment horizontal="right"/>
    </xf>
    <xf numFmtId="165" fontId="54" fillId="0" borderId="3" xfId="1" applyNumberFormat="1" applyFont="1" applyFill="1" applyBorder="1" applyAlignment="1">
      <alignment horizontal="right"/>
    </xf>
    <xf numFmtId="43" fontId="63" fillId="0" borderId="6" xfId="1" applyFont="1" applyFill="1" applyBorder="1" applyAlignment="1">
      <alignment horizontal="right"/>
    </xf>
    <xf numFmtId="166" fontId="63" fillId="0" borderId="5" xfId="2" quotePrefix="1" applyNumberFormat="1" applyFont="1" applyFill="1" applyBorder="1" applyAlignment="1">
      <alignment horizontal="right"/>
    </xf>
    <xf numFmtId="0" fontId="67" fillId="0" borderId="24" xfId="0" applyFont="1" applyBorder="1" applyAlignment="1"/>
    <xf numFmtId="43" fontId="63" fillId="0" borderId="5" xfId="1" quotePrefix="1" applyNumberFormat="1" applyFont="1" applyFill="1" applyBorder="1" applyAlignment="1">
      <alignment horizontal="right"/>
    </xf>
    <xf numFmtId="0" fontId="63" fillId="0" borderId="3" xfId="0" applyFont="1" applyFill="1" applyBorder="1" applyAlignment="1">
      <alignment horizontal="left"/>
    </xf>
    <xf numFmtId="0" fontId="63" fillId="0" borderId="4" xfId="0" applyFont="1" applyFill="1" applyBorder="1" applyAlignment="1">
      <alignment horizontal="left"/>
    </xf>
    <xf numFmtId="0" fontId="63" fillId="0" borderId="3" xfId="0" applyFont="1" applyBorder="1" applyAlignment="1">
      <alignment horizontal="left"/>
    </xf>
    <xf numFmtId="0" fontId="63" fillId="0" borderId="4" xfId="0" applyFont="1" applyBorder="1" applyAlignment="1">
      <alignment horizontal="left"/>
    </xf>
    <xf numFmtId="5" fontId="80" fillId="14" borderId="42" xfId="1" applyNumberFormat="1" applyFont="1" applyFill="1" applyBorder="1" applyAlignment="1">
      <alignment horizontal="center" vertical="center" wrapText="1"/>
    </xf>
    <xf numFmtId="5" fontId="80" fillId="14" borderId="43" xfId="1" applyNumberFormat="1" applyFont="1" applyFill="1" applyBorder="1" applyAlignment="1">
      <alignment horizontal="center" vertical="center" wrapText="1"/>
    </xf>
    <xf numFmtId="5" fontId="80" fillId="14" borderId="44" xfId="1" applyNumberFormat="1" applyFont="1" applyFill="1" applyBorder="1" applyAlignment="1">
      <alignment horizontal="center" vertical="center" wrapText="1"/>
    </xf>
    <xf numFmtId="5" fontId="80" fillId="14" borderId="45" xfId="1" applyNumberFormat="1" applyFont="1" applyFill="1" applyBorder="1" applyAlignment="1">
      <alignment horizontal="center" vertical="center" wrapText="1"/>
    </xf>
    <xf numFmtId="5" fontId="80" fillId="14" borderId="46" xfId="1" applyNumberFormat="1" applyFont="1" applyFill="1" applyBorder="1" applyAlignment="1">
      <alignment horizontal="center" vertical="center" wrapText="1"/>
    </xf>
    <xf numFmtId="5" fontId="80" fillId="14" borderId="47" xfId="1" applyNumberFormat="1" applyFont="1" applyFill="1" applyBorder="1" applyAlignment="1">
      <alignment horizontal="center" vertical="center" wrapText="1"/>
    </xf>
    <xf numFmtId="0" fontId="65" fillId="12" borderId="3" xfId="0" applyFont="1" applyFill="1" applyBorder="1" applyAlignment="1">
      <alignment horizontal="left" indent="1"/>
    </xf>
    <xf numFmtId="0" fontId="65" fillId="12" borderId="4" xfId="0" applyFont="1" applyFill="1" applyBorder="1" applyAlignment="1">
      <alignment horizontal="left" indent="1"/>
    </xf>
    <xf numFmtId="0" fontId="63" fillId="12" borderId="3" xfId="0" applyFont="1" applyFill="1" applyBorder="1" applyAlignment="1">
      <alignment horizontal="left"/>
    </xf>
    <xf numFmtId="0" fontId="63" fillId="12" borderId="4" xfId="0" applyFont="1" applyFill="1" applyBorder="1" applyAlignment="1">
      <alignment horizontal="left"/>
    </xf>
    <xf numFmtId="0" fontId="67" fillId="12" borderId="24" xfId="0" applyFont="1" applyFill="1" applyBorder="1" applyAlignment="1">
      <alignment horizontal="left"/>
    </xf>
    <xf numFmtId="0" fontId="67" fillId="12" borderId="25" xfId="0" applyFont="1" applyFill="1" applyBorder="1" applyAlignment="1">
      <alignment horizontal="left"/>
    </xf>
    <xf numFmtId="0" fontId="61" fillId="2" borderId="1" xfId="0" applyFont="1" applyFill="1" applyBorder="1" applyAlignment="1">
      <alignment horizontal="left"/>
    </xf>
    <xf numFmtId="0" fontId="61" fillId="2" borderId="11" xfId="0" applyFont="1" applyFill="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3" fillId="0" borderId="3" xfId="3" applyFont="1" applyFill="1" applyBorder="1" applyAlignment="1">
      <alignment horizontal="left" vertical="top"/>
    </xf>
    <xf numFmtId="0" fontId="63" fillId="0" borderId="4" xfId="3" applyFont="1" applyFill="1" applyBorder="1" applyAlignment="1">
      <alignment horizontal="left" vertical="top"/>
    </xf>
    <xf numFmtId="0" fontId="63" fillId="10" borderId="1" xfId="0" applyFont="1" applyFill="1" applyBorder="1" applyAlignment="1">
      <alignment horizontal="left"/>
    </xf>
    <xf numFmtId="0" fontId="63" fillId="10" borderId="11" xfId="0" applyFont="1" applyFill="1" applyBorder="1" applyAlignment="1">
      <alignment horizontal="left"/>
    </xf>
    <xf numFmtId="0" fontId="63" fillId="11" borderId="3" xfId="0" applyFont="1" applyFill="1" applyBorder="1" applyAlignment="1">
      <alignment horizontal="left"/>
    </xf>
    <xf numFmtId="0" fontId="63" fillId="11" borderId="4" xfId="0" applyFont="1" applyFill="1" applyBorder="1" applyAlignment="1">
      <alignment horizontal="left"/>
    </xf>
    <xf numFmtId="0" fontId="63" fillId="9" borderId="6" xfId="0" applyFont="1" applyFill="1" applyBorder="1" applyAlignment="1">
      <alignment horizontal="left"/>
    </xf>
    <xf numFmtId="0" fontId="63" fillId="9" borderId="10" xfId="0" applyFont="1" applyFill="1" applyBorder="1" applyAlignment="1">
      <alignment horizontal="left"/>
    </xf>
    <xf numFmtId="0" fontId="62" fillId="2" borderId="3" xfId="0" applyFont="1" applyFill="1" applyBorder="1" applyAlignment="1">
      <alignment horizontal="left"/>
    </xf>
    <xf numFmtId="0" fontId="62" fillId="2" borderId="4" xfId="0" applyFont="1" applyFill="1" applyBorder="1" applyAlignment="1">
      <alignment horizontal="left"/>
    </xf>
    <xf numFmtId="0" fontId="65" fillId="0" borderId="6" xfId="0" applyFont="1" applyFill="1" applyBorder="1" applyAlignment="1">
      <alignment horizontal="left" indent="1"/>
    </xf>
    <xf numFmtId="0" fontId="65" fillId="0" borderId="10" xfId="0" applyFont="1" applyFill="1" applyBorder="1" applyAlignment="1">
      <alignment horizontal="left" indent="1"/>
    </xf>
    <xf numFmtId="0" fontId="65" fillId="0" borderId="3" xfId="0" applyFont="1" applyFill="1" applyBorder="1" applyAlignment="1">
      <alignment horizontal="left" indent="1"/>
    </xf>
    <xf numFmtId="0" fontId="65" fillId="0" borderId="4" xfId="0" applyFont="1" applyFill="1" applyBorder="1" applyAlignment="1">
      <alignment horizontal="left" indent="1"/>
    </xf>
    <xf numFmtId="0" fontId="65" fillId="0" borderId="3" xfId="0" applyFont="1" applyBorder="1" applyAlignment="1">
      <alignment horizontal="left" indent="3"/>
    </xf>
    <xf numFmtId="0" fontId="65" fillId="0" borderId="4" xfId="0" applyFont="1" applyBorder="1" applyAlignment="1">
      <alignment horizontal="left" indent="3"/>
    </xf>
    <xf numFmtId="5" fontId="80" fillId="14" borderId="11" xfId="1" applyNumberFormat="1" applyFont="1" applyFill="1" applyBorder="1" applyAlignment="1">
      <alignment horizontal="center" vertical="center" wrapText="1"/>
    </xf>
    <xf numFmtId="5" fontId="80" fillId="14" borderId="4" xfId="1" applyNumberFormat="1" applyFont="1" applyFill="1" applyBorder="1" applyAlignment="1">
      <alignment horizontal="center" vertical="center" wrapText="1"/>
    </xf>
    <xf numFmtId="5" fontId="80" fillId="14" borderId="10" xfId="1" applyNumberFormat="1" applyFont="1" applyFill="1" applyBorder="1" applyAlignment="1">
      <alignment horizontal="center" vertical="center" wrapText="1"/>
    </xf>
    <xf numFmtId="0" fontId="63" fillId="0" borderId="26" xfId="0" applyFont="1" applyBorder="1" applyAlignment="1">
      <alignment horizontal="left" vertical="top" wrapText="1"/>
    </xf>
    <xf numFmtId="0" fontId="63" fillId="0" borderId="27" xfId="0" applyFont="1" applyBorder="1" applyAlignment="1">
      <alignment horizontal="left" vertical="top" wrapText="1"/>
    </xf>
    <xf numFmtId="0" fontId="63" fillId="12" borderId="6" xfId="0" applyFont="1" applyFill="1" applyBorder="1" applyAlignment="1">
      <alignment horizontal="left"/>
    </xf>
    <xf numFmtId="0" fontId="63" fillId="12" borderId="10" xfId="0" applyFont="1" applyFill="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xf>
    <xf numFmtId="0" fontId="4" fillId="0" borderId="2" xfId="0" applyFont="1" applyFill="1" applyBorder="1" applyAlignment="1">
      <alignment horizontal="left"/>
    </xf>
    <xf numFmtId="0" fontId="63" fillId="12" borderId="12" xfId="0" applyFont="1" applyFill="1" applyBorder="1" applyAlignment="1">
      <alignment horizontal="left"/>
    </xf>
    <xf numFmtId="0" fontId="63" fillId="12" borderId="13" xfId="0" applyFont="1" applyFill="1" applyBorder="1" applyAlignment="1">
      <alignment horizontal="left"/>
    </xf>
    <xf numFmtId="0" fontId="63" fillId="12" borderId="24" xfId="0" applyFont="1" applyFill="1" applyBorder="1" applyAlignment="1">
      <alignment horizontal="left"/>
    </xf>
    <xf numFmtId="0" fontId="63" fillId="12" borderId="25" xfId="0" applyFont="1" applyFill="1" applyBorder="1" applyAlignment="1">
      <alignment horizontal="left"/>
    </xf>
    <xf numFmtId="0" fontId="63" fillId="0" borderId="6" xfId="0" applyFont="1" applyBorder="1" applyAlignment="1">
      <alignment horizontal="left"/>
    </xf>
    <xf numFmtId="0" fontId="63" fillId="0" borderId="10"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5" fillId="12" borderId="3" xfId="0" applyFont="1" applyFill="1" applyBorder="1" applyAlignment="1">
      <alignment horizontal="left" indent="2"/>
    </xf>
    <xf numFmtId="0" fontId="65" fillId="12" borderId="4" xfId="0" applyFont="1" applyFill="1" applyBorder="1" applyAlignment="1">
      <alignment horizontal="left" indent="2"/>
    </xf>
    <xf numFmtId="0" fontId="62" fillId="0" borderId="32" xfId="0" applyFont="1" applyFill="1" applyBorder="1" applyAlignment="1">
      <alignment horizontal="center" wrapText="1"/>
    </xf>
    <xf numFmtId="0" fontId="62" fillId="0" borderId="5" xfId="0" applyFont="1" applyFill="1" applyBorder="1" applyAlignment="1">
      <alignment horizontal="center" wrapText="1"/>
    </xf>
    <xf numFmtId="0" fontId="65" fillId="0" borderId="3" xfId="0" applyFont="1" applyBorder="1" applyAlignment="1">
      <alignment horizontal="left" indent="1"/>
    </xf>
    <xf numFmtId="0" fontId="65" fillId="0" borderId="4" xfId="0" applyFont="1" applyBorder="1" applyAlignment="1">
      <alignment horizontal="left" indent="1"/>
    </xf>
    <xf numFmtId="0" fontId="65" fillId="0" borderId="6" xfId="0" applyFont="1" applyBorder="1" applyAlignment="1">
      <alignment horizontal="left" indent="2"/>
    </xf>
    <xf numFmtId="0" fontId="65" fillId="0" borderId="10" xfId="0" applyFont="1" applyBorder="1" applyAlignment="1">
      <alignment horizontal="left" indent="2"/>
    </xf>
    <xf numFmtId="0" fontId="63" fillId="0" borderId="6" xfId="0" applyFont="1" applyFill="1" applyBorder="1" applyAlignment="1">
      <alignment horizontal="left"/>
    </xf>
    <xf numFmtId="0" fontId="63" fillId="0" borderId="10" xfId="0" applyFont="1" applyFill="1" applyBorder="1" applyAlignment="1">
      <alignment horizontal="left"/>
    </xf>
    <xf numFmtId="10" fontId="80" fillId="14" borderId="11" xfId="1" applyNumberFormat="1" applyFont="1" applyFill="1" applyBorder="1" applyAlignment="1">
      <alignment horizontal="center" vertical="center" wrapText="1"/>
    </xf>
    <xf numFmtId="10" fontId="80" fillId="14" borderId="4" xfId="1" applyNumberFormat="1" applyFont="1" applyFill="1" applyBorder="1" applyAlignment="1">
      <alignment horizontal="center" vertical="center" wrapText="1"/>
    </xf>
    <xf numFmtId="10" fontId="80" fillId="14" borderId="10" xfId="1" applyNumberFormat="1" applyFont="1" applyFill="1" applyBorder="1" applyAlignment="1">
      <alignment horizontal="center" vertical="center" wrapText="1"/>
    </xf>
    <xf numFmtId="5" fontId="81" fillId="14" borderId="4" xfId="1" applyNumberFormat="1" applyFont="1" applyFill="1" applyBorder="1" applyAlignment="1">
      <alignment horizontal="center" vertical="center" wrapText="1"/>
    </xf>
    <xf numFmtId="5" fontId="81" fillId="14" borderId="10" xfId="1" applyNumberFormat="1" applyFont="1" applyFill="1" applyBorder="1" applyAlignment="1">
      <alignment horizontal="center" vertical="center" wrapText="1"/>
    </xf>
    <xf numFmtId="225" fontId="80" fillId="14" borderId="4" xfId="1" applyNumberFormat="1" applyFont="1" applyFill="1" applyBorder="1" applyAlignment="1">
      <alignment horizontal="center" vertical="center" wrapText="1"/>
    </xf>
    <xf numFmtId="225" fontId="80" fillId="14" borderId="10" xfId="1" applyNumberFormat="1" applyFont="1" applyFill="1" applyBorder="1" applyAlignment="1">
      <alignment horizontal="center" vertical="center" wrapText="1"/>
    </xf>
    <xf numFmtId="0" fontId="61" fillId="2" borderId="2" xfId="0" applyFont="1" applyFill="1" applyBorder="1" applyAlignment="1">
      <alignment horizontal="left"/>
    </xf>
    <xf numFmtId="0" fontId="67" fillId="0" borderId="24" xfId="0" applyFont="1" applyBorder="1" applyAlignment="1">
      <alignment horizontal="left"/>
    </xf>
    <xf numFmtId="0" fontId="67" fillId="0" borderId="25" xfId="0" applyFont="1" applyBorder="1" applyAlignment="1">
      <alignment horizontal="left"/>
    </xf>
    <xf numFmtId="0" fontId="2" fillId="0" borderId="0" xfId="0" applyFont="1" applyFill="1" applyAlignment="1">
      <alignment horizontal="center" vertical="top" wrapText="1"/>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Users</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Model'!$B$42</c:f>
              <c:strCache>
                <c:ptCount val="1"/>
                <c:pt idx="0">
                  <c:v>MAU - U.S. and Canada (M, left side of chart)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Model'!$N$34,'Earnings Model'!$O$34,'Earnings Model'!$P$34,'Earnings Model'!$Q$34,'Earnings Model'!$S$34,'Earnings Model'!$T$34,'Earnings Model'!$U$34,'Earnings Model'!$V$34)</c:f>
              <c:strCache>
                <c:ptCount val="8"/>
                <c:pt idx="0">
                  <c:v> 1Q18 </c:v>
                </c:pt>
                <c:pt idx="1">
                  <c:v> 2Q18 </c:v>
                </c:pt>
                <c:pt idx="2">
                  <c:v> 3Q18 </c:v>
                </c:pt>
                <c:pt idx="3">
                  <c:v> 4Q18 </c:v>
                </c:pt>
                <c:pt idx="4">
                  <c:v> 1Q19E </c:v>
                </c:pt>
                <c:pt idx="5">
                  <c:v> 2Q19E </c:v>
                </c:pt>
                <c:pt idx="6">
                  <c:v> 3Q19E </c:v>
                </c:pt>
                <c:pt idx="7">
                  <c:v> 4Q19E </c:v>
                </c:pt>
              </c:strCache>
            </c:strRef>
          </c:cat>
          <c:val>
            <c:numRef>
              <c:f>('Earnings Model'!$N$42,'Earnings Model'!$O$42,'Earnings Model'!$P$42,'Earnings Model'!$Q$42,'Earnings Model'!$S$42,'Earnings Model'!$T$42,'Earnings Model'!$U$42,'Earnings Model'!$V$42)</c:f>
              <c:numCache>
                <c:formatCode>_(* #,##0_);_(* \(#,##0\);_(* "-"??_);_(@_)</c:formatCode>
                <c:ptCount val="8"/>
                <c:pt idx="0">
                  <c:v>241</c:v>
                </c:pt>
                <c:pt idx="1">
                  <c:v>241</c:v>
                </c:pt>
                <c:pt idx="2">
                  <c:v>242</c:v>
                </c:pt>
                <c:pt idx="3">
                  <c:v>242</c:v>
                </c:pt>
                <c:pt idx="4">
                  <c:v>245.59138577945311</c:v>
                </c:pt>
                <c:pt idx="5">
                  <c:v>244.93688179696596</c:v>
                </c:pt>
                <c:pt idx="6">
                  <c:v>245.65974209658557</c:v>
                </c:pt>
                <c:pt idx="7">
                  <c:v>245.81526339479055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Model'!$B$52</c:f>
              <c:strCache>
                <c:ptCount val="1"/>
                <c:pt idx="0">
                  <c:v>ARPU - U.S. and Canada ($, right side of chart)</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Model'!$P$12,'Earnings Model'!$Q$12,'Earnings Model'!$S$12,'Earnings Model'!$T$12,'Earnings Model'!$U$12,'Earnings Model'!$V$12,'Earnings Model'!$X$12,'Earnings Model'!$Y$12)</c:f>
              <c:strCache>
                <c:ptCount val="8"/>
                <c:pt idx="0">
                  <c:v> 3Q18 </c:v>
                </c:pt>
                <c:pt idx="1">
                  <c:v> 4Q18 </c:v>
                </c:pt>
                <c:pt idx="2">
                  <c:v> 1Q19E </c:v>
                </c:pt>
                <c:pt idx="3">
                  <c:v> 2Q19E </c:v>
                </c:pt>
                <c:pt idx="4">
                  <c:v> 3Q19E </c:v>
                </c:pt>
                <c:pt idx="5">
                  <c:v> 4Q19E </c:v>
                </c:pt>
                <c:pt idx="6">
                  <c:v> 1Q20E </c:v>
                </c:pt>
                <c:pt idx="7">
                  <c:v> 2Q20E </c:v>
                </c:pt>
              </c:strCache>
            </c:strRef>
          </c:cat>
          <c:val>
            <c:numRef>
              <c:f>('Earnings Model'!$N$52,'Earnings Model'!$O$52,'Earnings Model'!$P$52,'Earnings Model'!$Q$52,'Earnings Model'!$S$52,'Earnings Model'!$T$52,'Earnings Model'!$U$52,'Earnings Model'!$V$52)</c:f>
              <c:numCache>
                <c:formatCode>_(* #,##0.00_);_(* \(#,##0.00\);_(* "-"??_);_(@_)</c:formatCode>
                <c:ptCount val="8"/>
                <c:pt idx="0">
                  <c:v>23.59</c:v>
                </c:pt>
                <c:pt idx="1">
                  <c:v>25.91</c:v>
                </c:pt>
                <c:pt idx="2">
                  <c:v>27.61</c:v>
                </c:pt>
                <c:pt idx="3">
                  <c:v>34.86</c:v>
                </c:pt>
                <c:pt idx="4">
                  <c:v>27.983802689002296</c:v>
                </c:pt>
                <c:pt idx="5">
                  <c:v>30.668736654229043</c:v>
                </c:pt>
                <c:pt idx="6">
                  <c:v>34.325193056106833</c:v>
                </c:pt>
                <c:pt idx="7">
                  <c:v>42.962717047037962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Users</a:t>
            </a:r>
          </a:p>
        </c:rich>
      </c:tx>
      <c:layout>
        <c:manualLayout>
          <c:xMode val="edge"/>
          <c:yMode val="edge"/>
          <c:x val="0.13640461686910277"/>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Model'!$B$44</c:f>
              <c:strCache>
                <c:ptCount val="1"/>
                <c:pt idx="0">
                  <c:v>MAU - Europe  (M, left side of chart)</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B07B-4FBF-B39C-B19FC761C2AB}"/>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B07B-4FBF-B39C-B19FC761C2AB}"/>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B07B-4FBF-B39C-B19FC761C2AB}"/>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B07B-4FBF-B39C-B19FC761C2AB}"/>
              </c:ext>
            </c:extLst>
          </c:dPt>
          <c:dPt>
            <c:idx val="9"/>
            <c:invertIfNegative val="0"/>
            <c:bubble3D val="0"/>
            <c:extLst>
              <c:ext xmlns:c16="http://schemas.microsoft.com/office/drawing/2014/chart" uri="{C3380CC4-5D6E-409C-BE32-E72D297353CC}">
                <c16:uniqueId val="{00000008-B07B-4FBF-B39C-B19FC761C2AB}"/>
              </c:ext>
            </c:extLst>
          </c:dPt>
          <c:cat>
            <c:strRef>
              <c:f>('Earnings Model'!$N$34,'Earnings Model'!$O$34,'Earnings Model'!$P$34,'Earnings Model'!$Q$34,'Earnings Model'!$S$34,'Earnings Model'!$T$34,'Earnings Model'!$U$34,'Earnings Model'!$V$34)</c:f>
              <c:strCache>
                <c:ptCount val="8"/>
                <c:pt idx="0">
                  <c:v> 1Q18 </c:v>
                </c:pt>
                <c:pt idx="1">
                  <c:v> 2Q18 </c:v>
                </c:pt>
                <c:pt idx="2">
                  <c:v> 3Q18 </c:v>
                </c:pt>
                <c:pt idx="3">
                  <c:v> 4Q18 </c:v>
                </c:pt>
                <c:pt idx="4">
                  <c:v> 1Q19E </c:v>
                </c:pt>
                <c:pt idx="5">
                  <c:v> 2Q19E </c:v>
                </c:pt>
                <c:pt idx="6">
                  <c:v> 3Q19E </c:v>
                </c:pt>
                <c:pt idx="7">
                  <c:v> 4Q19E </c:v>
                </c:pt>
              </c:strCache>
            </c:strRef>
          </c:cat>
          <c:val>
            <c:numRef>
              <c:f>('Earnings Model'!$N$44,'Earnings Model'!$O$44,'Earnings Model'!$P$44,'Earnings Model'!$Q$44,'Earnings Model'!$S$44,'Earnings Model'!$T$44,'Earnings Model'!$U$44,'Earnings Model'!$V$44)</c:f>
              <c:numCache>
                <c:formatCode>_(* #,##0_);_(* \(#,##0\);_(* "-"??_);_(@_)</c:formatCode>
                <c:ptCount val="8"/>
                <c:pt idx="0">
                  <c:v>377</c:v>
                </c:pt>
                <c:pt idx="1">
                  <c:v>376</c:v>
                </c:pt>
                <c:pt idx="2">
                  <c:v>375</c:v>
                </c:pt>
                <c:pt idx="3">
                  <c:v>381</c:v>
                </c:pt>
                <c:pt idx="4">
                  <c:v>392.96271777225161</c:v>
                </c:pt>
                <c:pt idx="5">
                  <c:v>389.79312579948174</c:v>
                </c:pt>
                <c:pt idx="6">
                  <c:v>388.02888577617125</c:v>
                </c:pt>
                <c:pt idx="7">
                  <c:v>394.66825086980339</c:v>
                </c:pt>
              </c:numCache>
            </c:numRef>
          </c:val>
          <c:extLst>
            <c:ext xmlns:c16="http://schemas.microsoft.com/office/drawing/2014/chart" uri="{C3380CC4-5D6E-409C-BE32-E72D297353CC}">
              <c16:uniqueId val="{00000009-B07B-4FBF-B39C-B19FC761C2AB}"/>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Model'!$B$54</c:f>
              <c:strCache>
                <c:ptCount val="1"/>
                <c:pt idx="0">
                  <c:v>ARPU - Europe ($, right side of chart)</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B07B-4FBF-B39C-B19FC761C2AB}"/>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B07B-4FBF-B39C-B19FC761C2AB}"/>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B07B-4FBF-B39C-B19FC761C2AB}"/>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B07B-4FBF-B39C-B19FC761C2AB}"/>
              </c:ext>
            </c:extLst>
          </c:dPt>
          <c:cat>
            <c:strRef>
              <c:f>('Earnings Model'!$P$12,'Earnings Model'!$Q$12,'Earnings Model'!$S$12,'Earnings Model'!$T$12,'Earnings Model'!$U$12,'Earnings Model'!$V$12,'Earnings Model'!$X$12,'Earnings Model'!$Y$12)</c:f>
              <c:strCache>
                <c:ptCount val="8"/>
                <c:pt idx="0">
                  <c:v> 3Q18 </c:v>
                </c:pt>
                <c:pt idx="1">
                  <c:v> 4Q18 </c:v>
                </c:pt>
                <c:pt idx="2">
                  <c:v> 1Q19E </c:v>
                </c:pt>
                <c:pt idx="3">
                  <c:v> 2Q19E </c:v>
                </c:pt>
                <c:pt idx="4">
                  <c:v> 3Q19E </c:v>
                </c:pt>
                <c:pt idx="5">
                  <c:v> 4Q19E </c:v>
                </c:pt>
                <c:pt idx="6">
                  <c:v> 1Q20E </c:v>
                </c:pt>
                <c:pt idx="7">
                  <c:v> 2Q20E </c:v>
                </c:pt>
              </c:strCache>
            </c:strRef>
          </c:cat>
          <c:val>
            <c:numRef>
              <c:f>('Earnings Model'!$N$54,'Earnings Model'!$O$54,'Earnings Model'!$P$54,'Earnings Model'!$Q$54,'Earnings Model'!$S$54,'Earnings Model'!$T$54,'Earnings Model'!$U$54,'Earnings Model'!$V$54)</c:f>
              <c:numCache>
                <c:formatCode>_(* #,##0.00_);_(* \(#,##0.00\);_(* "-"??_);_(@_)</c:formatCode>
                <c:ptCount val="8"/>
                <c:pt idx="0">
                  <c:v>8.1199999999999992</c:v>
                </c:pt>
                <c:pt idx="1">
                  <c:v>8.76</c:v>
                </c:pt>
                <c:pt idx="2">
                  <c:v>8.82</c:v>
                </c:pt>
                <c:pt idx="3">
                  <c:v>10.98</c:v>
                </c:pt>
                <c:pt idx="4">
                  <c:v>10.142509225092249</c:v>
                </c:pt>
                <c:pt idx="5">
                  <c:v>10.48968152866242</c:v>
                </c:pt>
                <c:pt idx="6">
                  <c:v>10.088277372262775</c:v>
                </c:pt>
                <c:pt idx="7">
                  <c:v>12.293634311512418</c:v>
                </c:pt>
              </c:numCache>
            </c:numRef>
          </c:val>
          <c:smooth val="0"/>
          <c:extLst>
            <c:ext xmlns:c16="http://schemas.microsoft.com/office/drawing/2014/chart" uri="{C3380CC4-5D6E-409C-BE32-E72D297353CC}">
              <c16:uniqueId val="{00000012-B07B-4FBF-B39C-B19FC761C2AB}"/>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Facebook Cash Flow &amp; Capex Forecast</a:t>
            </a:r>
          </a:p>
        </c:rich>
      </c:tx>
      <c:layout>
        <c:manualLayout>
          <c:xMode val="edge"/>
          <c:yMode val="edge"/>
          <c:x val="0.1644682277203656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Model'!$B$171:$C$171</c:f>
              <c:strCache>
                <c:ptCount val="2"/>
                <c:pt idx="0">
                  <c:v>Free Cash Flow to Firm (FCFF)</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CF65-4B38-87C6-CAA8798EE0E1}"/>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CF65-4B38-87C6-CAA8798EE0E1}"/>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CF65-4B38-87C6-CAA8798EE0E1}"/>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CF65-4B38-87C6-CAA8798EE0E1}"/>
              </c:ext>
            </c:extLst>
          </c:dPt>
          <c:dPt>
            <c:idx val="9"/>
            <c:invertIfNegative val="0"/>
            <c:bubble3D val="0"/>
            <c:extLst>
              <c:ext xmlns:c16="http://schemas.microsoft.com/office/drawing/2014/chart" uri="{C3380CC4-5D6E-409C-BE32-E72D297353CC}">
                <c16:uniqueId val="{00000008-CF65-4B38-87C6-CAA8798EE0E1}"/>
              </c:ext>
            </c:extLst>
          </c:dPt>
          <c:cat>
            <c:strRef>
              <c:f>('Earnings Model'!$N$34,'Earnings Model'!$O$34,'Earnings Model'!$P$34,'Earnings Model'!$Q$34,'Earnings Model'!$S$34,'Earnings Model'!$T$34,'Earnings Model'!$U$34,'Earnings Model'!$V$34)</c:f>
              <c:strCache>
                <c:ptCount val="8"/>
                <c:pt idx="0">
                  <c:v> 1Q18 </c:v>
                </c:pt>
                <c:pt idx="1">
                  <c:v> 2Q18 </c:v>
                </c:pt>
                <c:pt idx="2">
                  <c:v> 3Q18 </c:v>
                </c:pt>
                <c:pt idx="3">
                  <c:v> 4Q18 </c:v>
                </c:pt>
                <c:pt idx="4">
                  <c:v> 1Q19E </c:v>
                </c:pt>
                <c:pt idx="5">
                  <c:v> 2Q19E </c:v>
                </c:pt>
                <c:pt idx="6">
                  <c:v> 3Q19E </c:v>
                </c:pt>
                <c:pt idx="7">
                  <c:v> 4Q19E </c:v>
                </c:pt>
              </c:strCache>
            </c:strRef>
          </c:cat>
          <c:val>
            <c:numRef>
              <c:f>('Earnings Model'!$N$171,'Earnings Model'!$O$171,'Earnings Model'!$P$171,'Earnings Model'!$Q$171,'Earnings Model'!$S$171,'Earnings Model'!$T$171,'Earnings Model'!$U$171,'Earnings Model'!$V$171)</c:f>
              <c:numCache>
                <c:formatCode>_(* #,##0_);_(* \(#,##0\);_(* "-"??_);_(@_)</c:formatCode>
                <c:ptCount val="8"/>
                <c:pt idx="0">
                  <c:v>5048</c:v>
                </c:pt>
                <c:pt idx="1">
                  <c:v>2839</c:v>
                </c:pt>
                <c:pt idx="2">
                  <c:v>4156</c:v>
                </c:pt>
                <c:pt idx="3">
                  <c:v>3316</c:v>
                </c:pt>
              </c:numCache>
            </c:numRef>
          </c:val>
          <c:extLst>
            <c:ext xmlns:c16="http://schemas.microsoft.com/office/drawing/2014/chart" uri="{C3380CC4-5D6E-409C-BE32-E72D297353CC}">
              <c16:uniqueId val="{00000009-CF65-4B38-87C6-CAA8798EE0E1}"/>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Model'!$B$184</c:f>
              <c:strCache>
                <c:ptCount val="1"/>
                <c:pt idx="0">
                  <c:v>Capex to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CF65-4B38-87C6-CAA8798EE0E1}"/>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CF65-4B38-87C6-CAA8798EE0E1}"/>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CF65-4B38-87C6-CAA8798EE0E1}"/>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CF65-4B38-87C6-CAA8798EE0E1}"/>
              </c:ext>
            </c:extLst>
          </c:dPt>
          <c:cat>
            <c:strRef>
              <c:f>('Earnings Model'!$P$12,'Earnings Model'!$Q$12,'Earnings Model'!$S$12,'Earnings Model'!$T$12,'Earnings Model'!$U$12,'Earnings Model'!$V$12,'Earnings Model'!$X$12,'Earnings Model'!$Y$12)</c:f>
              <c:strCache>
                <c:ptCount val="8"/>
                <c:pt idx="0">
                  <c:v> 3Q18 </c:v>
                </c:pt>
                <c:pt idx="1">
                  <c:v> 4Q18 </c:v>
                </c:pt>
                <c:pt idx="2">
                  <c:v> 1Q19E </c:v>
                </c:pt>
                <c:pt idx="3">
                  <c:v> 2Q19E </c:v>
                </c:pt>
                <c:pt idx="4">
                  <c:v> 3Q19E </c:v>
                </c:pt>
                <c:pt idx="5">
                  <c:v> 4Q19E </c:v>
                </c:pt>
                <c:pt idx="6">
                  <c:v> 1Q20E </c:v>
                </c:pt>
                <c:pt idx="7">
                  <c:v> 2Q20E </c:v>
                </c:pt>
              </c:strCache>
            </c:strRef>
          </c:cat>
          <c:val>
            <c:numRef>
              <c:f>('Earnings Model'!$N$184,'Earnings Model'!$O$184,'Earnings Model'!$P$184,'Earnings Model'!$Q$184,'Earnings Model'!$S$184,'Earnings Model'!$T$184,'Earnings Model'!$U$184,'Earnings Model'!$V$184)</c:f>
              <c:numCache>
                <c:formatCode>0.0%</c:formatCode>
                <c:ptCount val="8"/>
                <c:pt idx="0">
                  <c:v>0.23499916429884674</c:v>
                </c:pt>
                <c:pt idx="1">
                  <c:v>0.26150706673720808</c:v>
                </c:pt>
                <c:pt idx="2">
                  <c:v>0.24346179063160195</c:v>
                </c:pt>
                <c:pt idx="3">
                  <c:v>0.25428638997280362</c:v>
                </c:pt>
              </c:numCache>
            </c:numRef>
          </c:val>
          <c:smooth val="0"/>
          <c:extLst>
            <c:ext xmlns:c16="http://schemas.microsoft.com/office/drawing/2014/chart" uri="{C3380CC4-5D6E-409C-BE32-E72D297353CC}">
              <c16:uniqueId val="{00000012-CF65-4B38-87C6-CAA8798EE0E1}"/>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91</xdr:row>
      <xdr:rowOff>0</xdr:rowOff>
    </xdr:from>
    <xdr:to>
      <xdr:col>6</xdr:col>
      <xdr:colOff>718343</xdr:colOff>
      <xdr:row>91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130</xdr:row>
      <xdr:rowOff>0</xdr:rowOff>
    </xdr:from>
    <xdr:to>
      <xdr:col>6</xdr:col>
      <xdr:colOff>718343</xdr:colOff>
      <xdr:row>130</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179</xdr:row>
      <xdr:rowOff>0</xdr:rowOff>
    </xdr:from>
    <xdr:to>
      <xdr:col>6</xdr:col>
      <xdr:colOff>718343</xdr:colOff>
      <xdr:row>179</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120</xdr:row>
      <xdr:rowOff>0</xdr:rowOff>
    </xdr:from>
    <xdr:to>
      <xdr:col>6</xdr:col>
      <xdr:colOff>718343</xdr:colOff>
      <xdr:row>120</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476250</xdr:colOff>
      <xdr:row>3</xdr:row>
      <xdr:rowOff>104775</xdr:rowOff>
    </xdr:from>
    <xdr:to>
      <xdr:col>11</xdr:col>
      <xdr:colOff>377190</xdr:colOff>
      <xdr:row>12</xdr:row>
      <xdr:rowOff>7620</xdr:rowOff>
    </xdr:to>
    <xdr:graphicFrame macro="">
      <xdr:nvGraphicFramePr>
        <xdr:cNvPr id="3" name="Chart 2">
          <a:extLst>
            <a:ext uri="{FF2B5EF4-FFF2-40B4-BE49-F238E27FC236}">
              <a16:creationId xmlns:a16="http://schemas.microsoft.com/office/drawing/2014/main" id="{096D19D1-25B6-4B88-BEB1-B38A4311D8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13</xdr:row>
      <xdr:rowOff>0</xdr:rowOff>
    </xdr:from>
    <xdr:to>
      <xdr:col>5</xdr:col>
      <xdr:colOff>100965</xdr:colOff>
      <xdr:row>22</xdr:row>
      <xdr:rowOff>169545</xdr:rowOff>
    </xdr:to>
    <xdr:graphicFrame macro="">
      <xdr:nvGraphicFramePr>
        <xdr:cNvPr id="4" name="Chart 3">
          <a:extLst>
            <a:ext uri="{FF2B5EF4-FFF2-40B4-BE49-F238E27FC236}">
              <a16:creationId xmlns:a16="http://schemas.microsoft.com/office/drawing/2014/main" id="{C124EE5D-A9DB-45C4-9537-CE2F39438B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fred.stlouisfed.org/series/DEXUSE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S227"/>
  <sheetViews>
    <sheetView showGridLines="0" tabSelected="1" zoomScaleNormal="100" workbookViewId="0">
      <selection activeCell="B2" sqref="B2:C2"/>
    </sheetView>
  </sheetViews>
  <sheetFormatPr defaultColWidth="8.85546875" defaultRowHeight="15" outlineLevelRow="1" outlineLevelCol="1" x14ac:dyDescent="0.25"/>
  <cols>
    <col min="1" max="1" width="1.7109375" style="4" customWidth="1"/>
    <col min="2" max="2" width="37.85546875" style="4" customWidth="1"/>
    <col min="3" max="3" width="17" style="4" customWidth="1"/>
    <col min="4" max="5" width="11.5703125" style="3" hidden="1" customWidth="1" outlineLevel="1"/>
    <col min="6" max="7" width="11.5703125" style="16" hidden="1" customWidth="1" outlineLevel="1"/>
    <col min="8" max="8" width="11.5703125" style="16" customWidth="1" collapsed="1"/>
    <col min="9" max="10" width="11.5703125" style="3" hidden="1" customWidth="1" outlineLevel="1"/>
    <col min="11" max="12" width="11.5703125" style="16" hidden="1" customWidth="1" outlineLevel="1"/>
    <col min="13" max="13" width="11.5703125" style="16" customWidth="1" collapsed="1"/>
    <col min="14" max="15" width="11.5703125" style="3" customWidth="1" outlineLevel="1"/>
    <col min="16" max="17" width="11.5703125" style="16" customWidth="1" outlineLevel="1"/>
    <col min="18" max="18" width="11.5703125" style="16" customWidth="1"/>
    <col min="19" max="20" width="11.5703125" style="3" customWidth="1" outlineLevel="1"/>
    <col min="21" max="22" width="11.5703125" style="16" customWidth="1" outlineLevel="1"/>
    <col min="23" max="23" width="11.5703125" style="16" customWidth="1"/>
    <col min="24" max="25" width="11.5703125" style="3" customWidth="1" outlineLevel="1"/>
    <col min="26" max="27" width="11.5703125" style="16" customWidth="1" outlineLevel="1"/>
    <col min="28" max="28" width="11.5703125" style="16" customWidth="1"/>
    <col min="29" max="30" width="11.5703125" style="3" hidden="1" customWidth="1" outlineLevel="1"/>
    <col min="31" max="32" width="11.5703125" style="16" hidden="1" customWidth="1" outlineLevel="1"/>
    <col min="33" max="33" width="11.5703125" style="16" customWidth="1" collapsed="1"/>
    <col min="34" max="35" width="11.5703125" style="3" hidden="1" customWidth="1" outlineLevel="1"/>
    <col min="36" max="37" width="11.5703125" style="16" hidden="1" customWidth="1" outlineLevel="1"/>
    <col min="38" max="38" width="11.5703125" style="16" customWidth="1" collapsed="1"/>
    <col min="39" max="40" width="11.5703125" style="3" hidden="1" customWidth="1" outlineLevel="1"/>
    <col min="41" max="42" width="11.5703125" style="16" hidden="1" customWidth="1" outlineLevel="1"/>
    <col min="43" max="43" width="11.5703125" style="16" customWidth="1" collapsed="1"/>
    <col min="44" max="46" width="8.85546875" style="4"/>
    <col min="47" max="47" width="10.42578125" style="4" bestFit="1" customWidth="1"/>
    <col min="48" max="16384" width="8.85546875" style="4"/>
  </cols>
  <sheetData>
    <row r="1" spans="1:71" ht="9" customHeight="1" x14ac:dyDescent="0.25">
      <c r="T1" s="43"/>
    </row>
    <row r="2" spans="1:71" ht="45" customHeight="1" x14ac:dyDescent="0.25">
      <c r="B2" s="397" t="s">
        <v>63</v>
      </c>
      <c r="C2" s="398"/>
      <c r="K2" s="17"/>
      <c r="T2" s="43"/>
    </row>
    <row r="3" spans="1:71" x14ac:dyDescent="0.25">
      <c r="B3" s="380" t="s">
        <v>268</v>
      </c>
      <c r="C3" s="381"/>
      <c r="D3" s="18"/>
      <c r="G3" s="19"/>
      <c r="H3" s="19"/>
      <c r="T3" s="43"/>
    </row>
    <row r="4" spans="1:71" x14ac:dyDescent="0.25">
      <c r="B4" s="382" t="s">
        <v>271</v>
      </c>
      <c r="C4" s="383"/>
      <c r="D4" s="18"/>
      <c r="G4" s="19"/>
      <c r="H4" s="19"/>
      <c r="T4" s="43"/>
      <c r="BS4" s="4" t="s">
        <v>64</v>
      </c>
    </row>
    <row r="5" spans="1:71" x14ac:dyDescent="0.25">
      <c r="B5" s="384" t="s">
        <v>269</v>
      </c>
      <c r="C5" s="385"/>
      <c r="D5" s="20"/>
      <c r="E5" s="18"/>
      <c r="F5" s="18"/>
      <c r="G5" s="19"/>
      <c r="H5" s="19"/>
      <c r="I5" s="19"/>
      <c r="J5" s="19"/>
      <c r="K5" s="19"/>
      <c r="L5" s="19"/>
      <c r="M5" s="18"/>
      <c r="N5" s="18"/>
      <c r="O5" s="18"/>
      <c r="P5" s="18"/>
      <c r="Q5" s="18"/>
      <c r="R5" s="18"/>
      <c r="S5" s="18"/>
      <c r="T5" s="22"/>
      <c r="U5" s="18"/>
      <c r="V5" s="18"/>
      <c r="W5" s="18"/>
      <c r="X5" s="18"/>
      <c r="Y5" s="18"/>
      <c r="Z5" s="18"/>
      <c r="AA5" s="18"/>
      <c r="AB5" s="18"/>
      <c r="AC5" s="18"/>
      <c r="AD5" s="18"/>
      <c r="AE5" s="18"/>
      <c r="AF5" s="18"/>
      <c r="AG5" s="18"/>
      <c r="AH5" s="18"/>
      <c r="AI5" s="18"/>
      <c r="AJ5" s="18"/>
      <c r="AK5" s="18"/>
      <c r="AL5" s="18"/>
      <c r="AM5" s="18"/>
      <c r="AN5" s="18"/>
      <c r="AO5" s="18"/>
      <c r="AP5" s="18"/>
      <c r="AQ5" s="18"/>
    </row>
    <row r="6" spans="1:71" ht="14.45" customHeight="1" x14ac:dyDescent="0.25">
      <c r="B6" s="202" t="s">
        <v>58</v>
      </c>
      <c r="C6" s="394" t="s">
        <v>302</v>
      </c>
      <c r="D6" s="18"/>
      <c r="E6" s="18"/>
      <c r="F6" s="18"/>
      <c r="G6" s="21"/>
      <c r="H6" s="21"/>
      <c r="I6" s="18"/>
      <c r="J6" s="18"/>
      <c r="K6" s="18"/>
      <c r="L6" s="22"/>
      <c r="M6" s="23"/>
      <c r="N6" s="18"/>
      <c r="O6" s="18"/>
      <c r="P6" s="18"/>
      <c r="Q6" s="18"/>
      <c r="R6" s="18"/>
      <c r="S6" s="18"/>
      <c r="T6" s="207"/>
      <c r="U6" s="206"/>
      <c r="V6" s="22"/>
      <c r="W6" s="207"/>
      <c r="X6" s="22"/>
      <c r="Y6" s="22"/>
      <c r="Z6" s="18"/>
      <c r="AA6" s="18"/>
      <c r="AB6" s="18"/>
      <c r="AC6" s="18"/>
      <c r="AD6" s="18"/>
      <c r="AE6" s="18"/>
      <c r="AF6" s="18"/>
      <c r="AG6" s="18"/>
      <c r="AH6" s="18"/>
      <c r="AI6" s="18"/>
      <c r="AJ6" s="18"/>
      <c r="AK6" s="18"/>
      <c r="AL6" s="18"/>
      <c r="AM6" s="18"/>
      <c r="AN6" s="18"/>
      <c r="AO6" s="18"/>
      <c r="AP6" s="18"/>
      <c r="AQ6" s="18"/>
    </row>
    <row r="7" spans="1:71" ht="14.45" customHeight="1" x14ac:dyDescent="0.25">
      <c r="B7" s="150" t="s">
        <v>59</v>
      </c>
      <c r="C7" s="395"/>
      <c r="D7" s="18"/>
      <c r="E7" s="18"/>
      <c r="F7" s="18"/>
      <c r="G7" s="22"/>
      <c r="H7" s="194"/>
      <c r="I7" s="194"/>
      <c r="J7" s="194"/>
      <c r="K7" s="194"/>
      <c r="L7" s="194"/>
      <c r="M7" s="194"/>
      <c r="N7" s="194"/>
      <c r="O7" s="194"/>
      <c r="P7" s="194"/>
      <c r="Q7" s="194"/>
      <c r="R7" s="194"/>
      <c r="S7" s="194"/>
      <c r="T7" s="207"/>
      <c r="U7" s="206"/>
      <c r="V7" s="194"/>
      <c r="W7" s="207"/>
      <c r="X7" s="194"/>
      <c r="Y7" s="194"/>
      <c r="Z7" s="194"/>
      <c r="AA7" s="194"/>
      <c r="AB7" s="194"/>
      <c r="AC7" s="194"/>
      <c r="AD7" s="194"/>
      <c r="AE7" s="194"/>
      <c r="AF7" s="194"/>
      <c r="AG7" s="194"/>
      <c r="AH7" s="194"/>
      <c r="AI7" s="194"/>
      <c r="AJ7" s="194"/>
      <c r="AK7" s="194"/>
      <c r="AL7" s="194"/>
      <c r="AM7" s="194"/>
      <c r="AN7" s="194"/>
      <c r="AO7" s="194"/>
      <c r="AP7" s="194"/>
      <c r="AQ7" s="196"/>
    </row>
    <row r="8" spans="1:71" ht="14.45" customHeight="1" x14ac:dyDescent="0.25">
      <c r="B8" s="150" t="s">
        <v>78</v>
      </c>
      <c r="C8" s="395"/>
      <c r="D8" s="18"/>
      <c r="E8" s="18"/>
      <c r="F8" s="24"/>
      <c r="G8" s="22"/>
      <c r="H8" s="194"/>
      <c r="I8" s="194"/>
      <c r="J8" s="194"/>
      <c r="K8" s="194"/>
      <c r="L8" s="194"/>
      <c r="M8" s="194"/>
      <c r="N8" s="194"/>
      <c r="O8" s="198"/>
      <c r="P8" s="194"/>
      <c r="Q8" s="194"/>
      <c r="R8" s="194"/>
      <c r="S8" s="195"/>
      <c r="T8" s="207"/>
      <c r="U8" s="239"/>
      <c r="V8" s="239"/>
      <c r="W8" s="195"/>
      <c r="X8" s="239"/>
      <c r="Y8" s="239"/>
      <c r="Z8" s="196"/>
      <c r="AA8" s="195"/>
      <c r="AB8" s="195"/>
      <c r="AC8" s="195"/>
      <c r="AD8" s="195"/>
      <c r="AE8" s="195"/>
      <c r="AF8" s="196"/>
      <c r="AG8" s="195"/>
      <c r="AH8" s="195"/>
      <c r="AI8" s="195"/>
      <c r="AJ8" s="195"/>
      <c r="AK8" s="195"/>
      <c r="AL8" s="195"/>
      <c r="AM8" s="195"/>
      <c r="AN8" s="195"/>
      <c r="AO8" s="195"/>
      <c r="AP8" s="195"/>
      <c r="AQ8" s="199"/>
    </row>
    <row r="9" spans="1:71" ht="14.45" customHeight="1" x14ac:dyDescent="0.25">
      <c r="B9" s="201" t="s">
        <v>79</v>
      </c>
      <c r="C9" s="396"/>
      <c r="D9" s="18"/>
      <c r="E9" s="18"/>
      <c r="F9" s="24"/>
      <c r="G9" s="22"/>
      <c r="H9" s="196"/>
      <c r="I9" s="196"/>
      <c r="J9" s="196"/>
      <c r="K9" s="196"/>
      <c r="L9" s="196"/>
      <c r="M9" s="196"/>
      <c r="N9" s="196"/>
      <c r="O9" s="196"/>
      <c r="P9" s="196"/>
      <c r="Q9" s="196"/>
      <c r="R9" s="196"/>
      <c r="S9" s="205"/>
      <c r="T9" s="195"/>
      <c r="U9" s="240"/>
      <c r="V9" s="241"/>
      <c r="W9" s="197"/>
      <c r="X9" s="208"/>
      <c r="Y9" s="197"/>
      <c r="Z9" s="197"/>
      <c r="AA9" s="197"/>
      <c r="AB9" s="196"/>
      <c r="AC9" s="196"/>
      <c r="AD9" s="196"/>
      <c r="AE9" s="196"/>
      <c r="AF9" s="196"/>
      <c r="AG9" s="196"/>
      <c r="AH9" s="196"/>
      <c r="AI9" s="196"/>
      <c r="AJ9" s="196"/>
      <c r="AK9" s="196"/>
      <c r="AL9" s="196"/>
      <c r="AM9" s="196"/>
      <c r="AN9" s="196"/>
      <c r="AO9" s="196"/>
      <c r="AP9" s="196"/>
      <c r="AQ9" s="196"/>
    </row>
    <row r="10" spans="1:71" ht="8.25" customHeight="1" x14ac:dyDescent="0.25">
      <c r="D10" s="26"/>
      <c r="E10" s="26"/>
      <c r="F10" s="26"/>
      <c r="G10" s="26"/>
      <c r="H10" s="27"/>
      <c r="I10" s="26"/>
      <c r="J10" s="26"/>
      <c r="K10" s="26"/>
      <c r="L10" s="26"/>
      <c r="M10" s="26"/>
      <c r="N10" s="26"/>
      <c r="O10" s="26"/>
      <c r="P10" s="26"/>
      <c r="Q10" s="26"/>
      <c r="R10" s="26"/>
      <c r="S10" s="312"/>
      <c r="T10" s="312"/>
      <c r="U10" s="312"/>
      <c r="V10" s="312"/>
      <c r="W10" s="192"/>
      <c r="X10" s="315"/>
      <c r="Y10" s="49"/>
      <c r="Z10" s="49"/>
      <c r="AA10" s="314"/>
      <c r="AB10" s="18"/>
      <c r="AC10" s="315"/>
      <c r="AD10" s="315"/>
      <c r="AE10" s="315"/>
      <c r="AF10" s="314"/>
      <c r="AG10" s="18"/>
      <c r="AH10" s="315"/>
      <c r="AI10" s="49"/>
      <c r="AJ10" s="49"/>
      <c r="AK10" s="314"/>
      <c r="AL10" s="18"/>
      <c r="AM10" s="49"/>
      <c r="AN10" s="49"/>
      <c r="AO10" s="49"/>
      <c r="AP10" s="18"/>
      <c r="AQ10" s="18"/>
    </row>
    <row r="11" spans="1:71" ht="15.75" x14ac:dyDescent="0.25">
      <c r="A11" s="414"/>
      <c r="B11" s="374" t="s">
        <v>189</v>
      </c>
      <c r="C11" s="375"/>
      <c r="D11" s="67" t="s">
        <v>152</v>
      </c>
      <c r="E11" s="67" t="s">
        <v>153</v>
      </c>
      <c r="F11" s="67" t="s">
        <v>154</v>
      </c>
      <c r="G11" s="67" t="s">
        <v>155</v>
      </c>
      <c r="H11" s="176" t="s">
        <v>155</v>
      </c>
      <c r="I11" s="67" t="s">
        <v>139</v>
      </c>
      <c r="J11" s="67" t="s">
        <v>144</v>
      </c>
      <c r="K11" s="67" t="s">
        <v>145</v>
      </c>
      <c r="L11" s="67" t="s">
        <v>146</v>
      </c>
      <c r="M11" s="176" t="s">
        <v>146</v>
      </c>
      <c r="N11" s="67" t="s">
        <v>141</v>
      </c>
      <c r="O11" s="67" t="s">
        <v>140</v>
      </c>
      <c r="P11" s="67" t="s">
        <v>142</v>
      </c>
      <c r="Q11" s="67" t="s">
        <v>143</v>
      </c>
      <c r="R11" s="176" t="s">
        <v>143</v>
      </c>
      <c r="S11" s="69" t="s">
        <v>161</v>
      </c>
      <c r="T11" s="69" t="s">
        <v>162</v>
      </c>
      <c r="U11" s="69" t="s">
        <v>163</v>
      </c>
      <c r="V11" s="69" t="s">
        <v>164</v>
      </c>
      <c r="W11" s="180" t="s">
        <v>164</v>
      </c>
      <c r="X11" s="69" t="s">
        <v>165</v>
      </c>
      <c r="Y11" s="69" t="s">
        <v>166</v>
      </c>
      <c r="Z11" s="69" t="s">
        <v>167</v>
      </c>
      <c r="AA11" s="69" t="s">
        <v>168</v>
      </c>
      <c r="AB11" s="180" t="s">
        <v>168</v>
      </c>
      <c r="AC11" s="69" t="s">
        <v>169</v>
      </c>
      <c r="AD11" s="69" t="s">
        <v>170</v>
      </c>
      <c r="AE11" s="69" t="s">
        <v>171</v>
      </c>
      <c r="AF11" s="69" t="s">
        <v>172</v>
      </c>
      <c r="AG11" s="180" t="s">
        <v>172</v>
      </c>
      <c r="AH11" s="69" t="s">
        <v>173</v>
      </c>
      <c r="AI11" s="69" t="s">
        <v>174</v>
      </c>
      <c r="AJ11" s="69" t="s">
        <v>175</v>
      </c>
      <c r="AK11" s="69" t="s">
        <v>176</v>
      </c>
      <c r="AL11" s="180" t="s">
        <v>176</v>
      </c>
      <c r="AM11" s="69" t="s">
        <v>177</v>
      </c>
      <c r="AN11" s="69" t="s">
        <v>178</v>
      </c>
      <c r="AO11" s="69" t="s">
        <v>179</v>
      </c>
      <c r="AP11" s="69" t="s">
        <v>180</v>
      </c>
      <c r="AQ11" s="180" t="s">
        <v>180</v>
      </c>
    </row>
    <row r="12" spans="1:71" ht="17.45" customHeight="1" x14ac:dyDescent="0.4">
      <c r="A12" s="415"/>
      <c r="B12" s="386" t="s">
        <v>3</v>
      </c>
      <c r="C12" s="387"/>
      <c r="D12" s="68" t="s">
        <v>156</v>
      </c>
      <c r="E12" s="68" t="s">
        <v>157</v>
      </c>
      <c r="F12" s="68" t="s">
        <v>158</v>
      </c>
      <c r="G12" s="68" t="s">
        <v>159</v>
      </c>
      <c r="H12" s="177" t="s">
        <v>160</v>
      </c>
      <c r="I12" s="68" t="s">
        <v>147</v>
      </c>
      <c r="J12" s="68" t="s">
        <v>148</v>
      </c>
      <c r="K12" s="68" t="s">
        <v>149</v>
      </c>
      <c r="L12" s="68" t="s">
        <v>150</v>
      </c>
      <c r="M12" s="177" t="s">
        <v>151</v>
      </c>
      <c r="N12" s="68" t="s">
        <v>138</v>
      </c>
      <c r="O12" s="68" t="s">
        <v>137</v>
      </c>
      <c r="P12" s="68" t="s">
        <v>136</v>
      </c>
      <c r="Q12" s="68" t="s">
        <v>135</v>
      </c>
      <c r="R12" s="177" t="s">
        <v>134</v>
      </c>
      <c r="S12" s="66" t="s">
        <v>273</v>
      </c>
      <c r="T12" s="66" t="s">
        <v>274</v>
      </c>
      <c r="U12" s="66" t="s">
        <v>275</v>
      </c>
      <c r="V12" s="66" t="s">
        <v>276</v>
      </c>
      <c r="W12" s="181" t="s">
        <v>277</v>
      </c>
      <c r="X12" s="66" t="s">
        <v>278</v>
      </c>
      <c r="Y12" s="66" t="s">
        <v>279</v>
      </c>
      <c r="Z12" s="66" t="s">
        <v>280</v>
      </c>
      <c r="AA12" s="66" t="s">
        <v>281</v>
      </c>
      <c r="AB12" s="181" t="s">
        <v>282</v>
      </c>
      <c r="AC12" s="66" t="s">
        <v>283</v>
      </c>
      <c r="AD12" s="66" t="s">
        <v>284</v>
      </c>
      <c r="AE12" s="66" t="s">
        <v>285</v>
      </c>
      <c r="AF12" s="66" t="s">
        <v>286</v>
      </c>
      <c r="AG12" s="181" t="s">
        <v>287</v>
      </c>
      <c r="AH12" s="66" t="s">
        <v>288</v>
      </c>
      <c r="AI12" s="66" t="s">
        <v>289</v>
      </c>
      <c r="AJ12" s="66" t="s">
        <v>290</v>
      </c>
      <c r="AK12" s="66" t="s">
        <v>291</v>
      </c>
      <c r="AL12" s="181" t="s">
        <v>292</v>
      </c>
      <c r="AM12" s="66" t="s">
        <v>293</v>
      </c>
      <c r="AN12" s="66" t="s">
        <v>294</v>
      </c>
      <c r="AO12" s="66" t="s">
        <v>295</v>
      </c>
      <c r="AP12" s="66" t="s">
        <v>296</v>
      </c>
      <c r="AQ12" s="181" t="s">
        <v>297</v>
      </c>
    </row>
    <row r="13" spans="1:71" x14ac:dyDescent="0.25">
      <c r="B13" s="360" t="s">
        <v>72</v>
      </c>
      <c r="C13" s="361"/>
      <c r="D13" s="77">
        <v>5382</v>
      </c>
      <c r="E13" s="77">
        <v>6436</v>
      </c>
      <c r="F13" s="77">
        <v>7011</v>
      </c>
      <c r="G13" s="77">
        <v>8809</v>
      </c>
      <c r="H13" s="88">
        <f>SUM(D13:G13)</f>
        <v>27638</v>
      </c>
      <c r="I13" s="77">
        <v>8032</v>
      </c>
      <c r="J13" s="77">
        <v>9321</v>
      </c>
      <c r="K13" s="77">
        <v>10328</v>
      </c>
      <c r="L13" s="195">
        <v>12972</v>
      </c>
      <c r="M13" s="88">
        <f>SUM(I13:L13)</f>
        <v>40653</v>
      </c>
      <c r="N13" s="195">
        <v>11966</v>
      </c>
      <c r="O13" s="195">
        <v>13231</v>
      </c>
      <c r="P13" s="195">
        <v>13727</v>
      </c>
      <c r="Q13" s="195">
        <v>16914</v>
      </c>
      <c r="R13" s="88">
        <f>SUM(N13:Q13)</f>
        <v>55838</v>
      </c>
      <c r="S13" s="313">
        <f>+S40</f>
        <v>14955.499999999996</v>
      </c>
      <c r="T13" s="313">
        <f t="shared" ref="T13:V13" si="0">+T40</f>
        <v>16358.8</v>
      </c>
      <c r="U13" s="313">
        <f t="shared" si="0"/>
        <v>16956</v>
      </c>
      <c r="V13" s="313">
        <f t="shared" si="0"/>
        <v>20660.599999999999</v>
      </c>
      <c r="W13" s="88">
        <f>SUM(S13:V13)</f>
        <v>68930.899999999994</v>
      </c>
      <c r="X13" s="77"/>
      <c r="Y13" s="77"/>
      <c r="Z13" s="77"/>
      <c r="AA13" s="77"/>
      <c r="AB13" s="88"/>
      <c r="AC13" s="77"/>
      <c r="AD13" s="77"/>
      <c r="AE13" s="77"/>
      <c r="AF13" s="77"/>
      <c r="AG13" s="88"/>
      <c r="AH13" s="77"/>
      <c r="AI13" s="77"/>
      <c r="AJ13" s="77"/>
      <c r="AK13" s="77"/>
      <c r="AL13" s="88"/>
      <c r="AM13" s="77"/>
      <c r="AN13" s="77"/>
      <c r="AO13" s="77"/>
      <c r="AP13" s="77"/>
      <c r="AQ13" s="88"/>
    </row>
    <row r="14" spans="1:71" ht="17.25" x14ac:dyDescent="0.4">
      <c r="B14" s="244" t="s">
        <v>182</v>
      </c>
      <c r="C14" s="245"/>
      <c r="D14" s="78">
        <v>838</v>
      </c>
      <c r="E14" s="78">
        <v>916</v>
      </c>
      <c r="F14" s="78">
        <v>987</v>
      </c>
      <c r="G14" s="78">
        <v>1048</v>
      </c>
      <c r="H14" s="96">
        <f>SUM(D14:G14)</f>
        <v>3789</v>
      </c>
      <c r="I14" s="78">
        <v>1159</v>
      </c>
      <c r="J14" s="78">
        <v>1237</v>
      </c>
      <c r="K14" s="78">
        <v>1448</v>
      </c>
      <c r="L14" s="285">
        <v>1611</v>
      </c>
      <c r="M14" s="96">
        <f>SUM(I14:L14)</f>
        <v>5455</v>
      </c>
      <c r="N14" s="285">
        <v>1927</v>
      </c>
      <c r="O14" s="285">
        <v>2214</v>
      </c>
      <c r="P14" s="285">
        <v>2418</v>
      </c>
      <c r="Q14" s="285">
        <v>2796</v>
      </c>
      <c r="R14" s="96">
        <f>SUM(N14:Q14)</f>
        <v>9355</v>
      </c>
      <c r="S14" s="78">
        <f>+S13*(1-S69)</f>
        <v>2850.5182999999993</v>
      </c>
      <c r="T14" s="78">
        <f>+T13*(1-T69)</f>
        <v>3165.4277999999999</v>
      </c>
      <c r="U14" s="78">
        <f>+U13*(1-U69)</f>
        <v>3375.9396000000011</v>
      </c>
      <c r="V14" s="78">
        <f>+V13*(1-V69)</f>
        <v>3946.1745999999985</v>
      </c>
      <c r="W14" s="96">
        <f>SUM(S14:V14)</f>
        <v>13338.060299999999</v>
      </c>
      <c r="X14" s="78"/>
      <c r="Y14" s="78"/>
      <c r="Z14" s="78"/>
      <c r="AA14" s="78"/>
      <c r="AB14" s="96"/>
      <c r="AC14" s="78"/>
      <c r="AD14" s="78"/>
      <c r="AE14" s="78"/>
      <c r="AF14" s="78"/>
      <c r="AG14" s="96"/>
      <c r="AH14" s="78"/>
      <c r="AI14" s="78"/>
      <c r="AJ14" s="78"/>
      <c r="AK14" s="78"/>
      <c r="AL14" s="96"/>
      <c r="AM14" s="78"/>
      <c r="AN14" s="78"/>
      <c r="AO14" s="78"/>
      <c r="AP14" s="78"/>
      <c r="AQ14" s="96"/>
    </row>
    <row r="15" spans="1:71" s="38" customFormat="1" x14ac:dyDescent="0.25">
      <c r="B15" s="249" t="s">
        <v>181</v>
      </c>
      <c r="C15" s="250"/>
      <c r="D15" s="85">
        <f>+D13-D14</f>
        <v>4544</v>
      </c>
      <c r="E15" s="85">
        <f t="shared" ref="E15:G15" si="1">+E13-E14</f>
        <v>5520</v>
      </c>
      <c r="F15" s="85">
        <f t="shared" si="1"/>
        <v>6024</v>
      </c>
      <c r="G15" s="85">
        <f t="shared" si="1"/>
        <v>7761</v>
      </c>
      <c r="H15" s="86">
        <f>+H13-H14</f>
        <v>23849</v>
      </c>
      <c r="I15" s="85">
        <f>+I13-I14</f>
        <v>6873</v>
      </c>
      <c r="J15" s="85">
        <f t="shared" ref="J15" si="2">+J13-J14</f>
        <v>8084</v>
      </c>
      <c r="K15" s="85">
        <f t="shared" ref="K15" si="3">+K13-K14</f>
        <v>8880</v>
      </c>
      <c r="L15" s="85">
        <f t="shared" ref="L15" si="4">+L13-L14</f>
        <v>11361</v>
      </c>
      <c r="M15" s="86">
        <f>+M13-M14</f>
        <v>35198</v>
      </c>
      <c r="N15" s="85">
        <f>+N13-N14</f>
        <v>10039</v>
      </c>
      <c r="O15" s="85">
        <f t="shared" ref="O15" si="5">+O13-O14</f>
        <v>11017</v>
      </c>
      <c r="P15" s="85">
        <f t="shared" ref="P15" si="6">+P13-P14</f>
        <v>11309</v>
      </c>
      <c r="Q15" s="85">
        <f t="shared" ref="Q15" si="7">+Q13-Q14</f>
        <v>14118</v>
      </c>
      <c r="R15" s="86">
        <f>+R13-R14</f>
        <v>46483</v>
      </c>
      <c r="S15" s="85">
        <f>+S13-S14</f>
        <v>12104.981699999997</v>
      </c>
      <c r="T15" s="85">
        <f t="shared" ref="T15" si="8">+T13-T14</f>
        <v>13193.3722</v>
      </c>
      <c r="U15" s="85">
        <f t="shared" ref="U15" si="9">+U13-U14</f>
        <v>13580.060399999998</v>
      </c>
      <c r="V15" s="85">
        <f t="shared" ref="V15" si="10">+V13-V14</f>
        <v>16714.4254</v>
      </c>
      <c r="W15" s="86">
        <f>+W13-W14</f>
        <v>55592.839699999997</v>
      </c>
      <c r="X15" s="85"/>
      <c r="Y15" s="85"/>
      <c r="Z15" s="85"/>
      <c r="AA15" s="85"/>
      <c r="AB15" s="86"/>
      <c r="AC15" s="85"/>
      <c r="AD15" s="85"/>
      <c r="AE15" s="85"/>
      <c r="AF15" s="85"/>
      <c r="AG15" s="86"/>
      <c r="AH15" s="85"/>
      <c r="AI15" s="85"/>
      <c r="AJ15" s="85"/>
      <c r="AK15" s="85"/>
      <c r="AL15" s="86"/>
      <c r="AM15" s="85"/>
      <c r="AN15" s="85"/>
      <c r="AO15" s="85"/>
      <c r="AP15" s="85"/>
      <c r="AQ15" s="86"/>
    </row>
    <row r="16" spans="1:71" x14ac:dyDescent="0.25">
      <c r="B16" s="72" t="s">
        <v>81</v>
      </c>
      <c r="C16" s="140"/>
      <c r="D16" s="28"/>
      <c r="E16" s="28"/>
      <c r="F16" s="28"/>
      <c r="G16" s="28"/>
      <c r="H16" s="88"/>
      <c r="I16" s="28"/>
      <c r="J16" s="28"/>
      <c r="K16" s="28"/>
      <c r="L16" s="28"/>
      <c r="M16" s="88"/>
      <c r="N16" s="28"/>
      <c r="O16" s="28"/>
      <c r="P16" s="28"/>
      <c r="Q16" s="28"/>
      <c r="R16" s="88"/>
      <c r="S16" s="28"/>
      <c r="T16" s="28"/>
      <c r="U16" s="28"/>
      <c r="V16" s="28"/>
      <c r="W16" s="88"/>
      <c r="X16" s="28"/>
      <c r="Y16" s="28"/>
      <c r="Z16" s="28"/>
      <c r="AA16" s="28"/>
      <c r="AB16" s="88"/>
      <c r="AC16" s="28"/>
      <c r="AD16" s="28"/>
      <c r="AE16" s="28"/>
      <c r="AF16" s="28"/>
      <c r="AG16" s="88"/>
      <c r="AH16" s="28"/>
      <c r="AI16" s="28"/>
      <c r="AJ16" s="28"/>
      <c r="AK16" s="28"/>
      <c r="AL16" s="88"/>
      <c r="AM16" s="28"/>
      <c r="AN16" s="28"/>
      <c r="AO16" s="28"/>
      <c r="AP16" s="28"/>
      <c r="AQ16" s="88"/>
    </row>
    <row r="17" spans="1:43" x14ac:dyDescent="0.25">
      <c r="B17" s="152" t="s">
        <v>183</v>
      </c>
      <c r="C17" s="73"/>
      <c r="D17" s="77">
        <v>1343</v>
      </c>
      <c r="E17" s="77">
        <v>1463</v>
      </c>
      <c r="F17" s="77">
        <v>1539</v>
      </c>
      <c r="G17" s="77">
        <f>5919-F17-E17-D17</f>
        <v>1574</v>
      </c>
      <c r="H17" s="88">
        <f t="shared" ref="H17:H19" si="11">SUM(D17:G17)</f>
        <v>5919</v>
      </c>
      <c r="I17" s="77">
        <v>1834</v>
      </c>
      <c r="J17" s="77">
        <v>1919</v>
      </c>
      <c r="K17" s="77">
        <v>2052</v>
      </c>
      <c r="L17" s="195">
        <v>1949</v>
      </c>
      <c r="M17" s="88">
        <f t="shared" ref="M17:M19" si="12">SUM(I17:L17)</f>
        <v>7754</v>
      </c>
      <c r="N17" s="195">
        <v>2238</v>
      </c>
      <c r="O17" s="195">
        <v>2523</v>
      </c>
      <c r="P17" s="195">
        <v>2657</v>
      </c>
      <c r="Q17" s="195">
        <v>2855</v>
      </c>
      <c r="R17" s="88">
        <f t="shared" ref="R17:R19" si="13">SUM(N17:Q17)</f>
        <v>10273</v>
      </c>
      <c r="S17" s="77">
        <f>+S13*S70</f>
        <v>3053.3427787359628</v>
      </c>
      <c r="T17" s="77">
        <f>+T13*T70</f>
        <v>3140.2952347318728</v>
      </c>
      <c r="U17" s="77">
        <f>+U13*U70</f>
        <v>3466.6532175739449</v>
      </c>
      <c r="V17" s="77">
        <f>+V13*V70</f>
        <v>3560.7023244711027</v>
      </c>
      <c r="W17" s="88">
        <f t="shared" ref="W17:W19" si="14">SUM(S17:V17)</f>
        <v>13220.993555512883</v>
      </c>
      <c r="X17" s="77"/>
      <c r="Y17" s="77"/>
      <c r="Z17" s="77"/>
      <c r="AA17" s="77"/>
      <c r="AB17" s="88"/>
      <c r="AC17" s="77"/>
      <c r="AD17" s="77"/>
      <c r="AE17" s="77"/>
      <c r="AF17" s="77"/>
      <c r="AG17" s="88"/>
      <c r="AH17" s="77"/>
      <c r="AI17" s="77"/>
      <c r="AJ17" s="77"/>
      <c r="AK17" s="77"/>
      <c r="AL17" s="88"/>
      <c r="AM17" s="77"/>
      <c r="AN17" s="77"/>
      <c r="AO17" s="77"/>
      <c r="AP17" s="77"/>
      <c r="AQ17" s="88"/>
    </row>
    <row r="18" spans="1:43" x14ac:dyDescent="0.25">
      <c r="B18" s="152" t="s">
        <v>184</v>
      </c>
      <c r="C18" s="73"/>
      <c r="D18" s="77">
        <v>826</v>
      </c>
      <c r="E18" s="77">
        <v>899</v>
      </c>
      <c r="F18" s="77">
        <v>925</v>
      </c>
      <c r="G18" s="77">
        <f>3772-F18-E18-D18</f>
        <v>1122</v>
      </c>
      <c r="H18" s="88">
        <f t="shared" si="11"/>
        <v>3772</v>
      </c>
      <c r="I18" s="77">
        <v>1057</v>
      </c>
      <c r="J18" s="77">
        <v>1124</v>
      </c>
      <c r="K18" s="77">
        <v>1170</v>
      </c>
      <c r="L18" s="195">
        <v>1374</v>
      </c>
      <c r="M18" s="88">
        <f t="shared" si="12"/>
        <v>4725</v>
      </c>
      <c r="N18" s="195">
        <v>1595</v>
      </c>
      <c r="O18" s="195">
        <v>1855</v>
      </c>
      <c r="P18" s="195">
        <v>1928</v>
      </c>
      <c r="Q18" s="195">
        <v>2467</v>
      </c>
      <c r="R18" s="88">
        <f t="shared" si="13"/>
        <v>7845</v>
      </c>
      <c r="S18" s="77">
        <f>+S13*S71</f>
        <v>2392.1471911647404</v>
      </c>
      <c r="T18" s="77">
        <f>+T13*T71</f>
        <v>2725.6242005420936</v>
      </c>
      <c r="U18" s="77">
        <f>+U13*U71</f>
        <v>2767.5362518468555</v>
      </c>
      <c r="V18" s="77">
        <f>+V13*V71</f>
        <v>3345.8924189818226</v>
      </c>
      <c r="W18" s="88">
        <f t="shared" si="14"/>
        <v>11231.200062535512</v>
      </c>
      <c r="X18" s="77"/>
      <c r="Y18" s="77"/>
      <c r="Z18" s="77"/>
      <c r="AA18" s="77"/>
      <c r="AB18" s="88"/>
      <c r="AC18" s="77"/>
      <c r="AD18" s="77"/>
      <c r="AE18" s="77"/>
      <c r="AF18" s="77"/>
      <c r="AG18" s="88"/>
      <c r="AH18" s="77"/>
      <c r="AI18" s="77"/>
      <c r="AJ18" s="77"/>
      <c r="AK18" s="77"/>
      <c r="AL18" s="88"/>
      <c r="AM18" s="77"/>
      <c r="AN18" s="77"/>
      <c r="AO18" s="77"/>
      <c r="AP18" s="77"/>
      <c r="AQ18" s="88"/>
    </row>
    <row r="19" spans="1:43" ht="17.25" customHeight="1" x14ac:dyDescent="0.4">
      <c r="B19" s="152" t="s">
        <v>185</v>
      </c>
      <c r="C19" s="73"/>
      <c r="D19" s="78">
        <v>366</v>
      </c>
      <c r="E19" s="78">
        <v>412</v>
      </c>
      <c r="F19" s="78">
        <v>438</v>
      </c>
      <c r="G19" s="78">
        <f>1731-F19-E19-D19</f>
        <v>515</v>
      </c>
      <c r="H19" s="96">
        <f t="shared" si="11"/>
        <v>1731</v>
      </c>
      <c r="I19" s="78">
        <v>655</v>
      </c>
      <c r="J19" s="78">
        <v>640</v>
      </c>
      <c r="K19" s="78">
        <v>536</v>
      </c>
      <c r="L19" s="285">
        <v>686</v>
      </c>
      <c r="M19" s="96">
        <f t="shared" si="12"/>
        <v>2517</v>
      </c>
      <c r="N19" s="285">
        <v>757</v>
      </c>
      <c r="O19" s="285">
        <v>776</v>
      </c>
      <c r="P19" s="285">
        <v>943</v>
      </c>
      <c r="Q19" s="285">
        <v>976</v>
      </c>
      <c r="R19" s="96">
        <f t="shared" si="13"/>
        <v>3452</v>
      </c>
      <c r="S19" s="78">
        <f>S13*S72</f>
        <v>1227.5217300992933</v>
      </c>
      <c r="T19" s="78">
        <f>T13*T72</f>
        <v>1419.6527647260332</v>
      </c>
      <c r="U19" s="78">
        <f>U13*U72</f>
        <v>1421.1709305791985</v>
      </c>
      <c r="V19" s="78">
        <f>V13*V72</f>
        <v>1665.870656547075</v>
      </c>
      <c r="W19" s="96">
        <f t="shared" si="14"/>
        <v>5734.2160819515993</v>
      </c>
      <c r="X19" s="78"/>
      <c r="Y19" s="78"/>
      <c r="Z19" s="78"/>
      <c r="AA19" s="78"/>
      <c r="AB19" s="96"/>
      <c r="AC19" s="78"/>
      <c r="AD19" s="78"/>
      <c r="AE19" s="78"/>
      <c r="AF19" s="78"/>
      <c r="AG19" s="96"/>
      <c r="AH19" s="78"/>
      <c r="AI19" s="78"/>
      <c r="AJ19" s="78"/>
      <c r="AK19" s="78"/>
      <c r="AL19" s="96"/>
      <c r="AM19" s="78"/>
      <c r="AN19" s="78"/>
      <c r="AO19" s="78"/>
      <c r="AP19" s="78"/>
      <c r="AQ19" s="96"/>
    </row>
    <row r="20" spans="1:43" s="82" customFormat="1" ht="17.25" customHeight="1" x14ac:dyDescent="0.4">
      <c r="B20" s="272" t="s">
        <v>60</v>
      </c>
      <c r="C20" s="79"/>
      <c r="D20" s="80">
        <f t="shared" ref="D20:W20" si="15">SUM(D17:D19)</f>
        <v>2535</v>
      </c>
      <c r="E20" s="80">
        <f t="shared" si="15"/>
        <v>2774</v>
      </c>
      <c r="F20" s="80">
        <f t="shared" si="15"/>
        <v>2902</v>
      </c>
      <c r="G20" s="80">
        <f t="shared" si="15"/>
        <v>3211</v>
      </c>
      <c r="H20" s="81">
        <f t="shared" si="15"/>
        <v>11422</v>
      </c>
      <c r="I20" s="80">
        <f t="shared" si="15"/>
        <v>3546</v>
      </c>
      <c r="J20" s="80">
        <f t="shared" si="15"/>
        <v>3683</v>
      </c>
      <c r="K20" s="80">
        <f t="shared" si="15"/>
        <v>3758</v>
      </c>
      <c r="L20" s="80">
        <f t="shared" si="15"/>
        <v>4009</v>
      </c>
      <c r="M20" s="81">
        <f t="shared" si="15"/>
        <v>14996</v>
      </c>
      <c r="N20" s="80">
        <f t="shared" si="15"/>
        <v>4590</v>
      </c>
      <c r="O20" s="80">
        <f t="shared" si="15"/>
        <v>5154</v>
      </c>
      <c r="P20" s="80">
        <f t="shared" si="15"/>
        <v>5528</v>
      </c>
      <c r="Q20" s="80">
        <f t="shared" si="15"/>
        <v>6298</v>
      </c>
      <c r="R20" s="81">
        <f t="shared" si="15"/>
        <v>21570</v>
      </c>
      <c r="S20" s="80">
        <f t="shared" si="15"/>
        <v>6673.0116999999973</v>
      </c>
      <c r="T20" s="80">
        <f t="shared" si="15"/>
        <v>7285.5722000000005</v>
      </c>
      <c r="U20" s="80">
        <f t="shared" si="15"/>
        <v>7655.3603999999987</v>
      </c>
      <c r="V20" s="80">
        <f t="shared" si="15"/>
        <v>8572.465400000001</v>
      </c>
      <c r="W20" s="81">
        <f t="shared" si="15"/>
        <v>30186.409699999997</v>
      </c>
      <c r="X20" s="80"/>
      <c r="Y20" s="362" t="s">
        <v>302</v>
      </c>
      <c r="Z20" s="363"/>
      <c r="AA20" s="80"/>
      <c r="AB20" s="81"/>
      <c r="AC20" s="80"/>
      <c r="AD20" s="362" t="s">
        <v>302</v>
      </c>
      <c r="AE20" s="363"/>
      <c r="AF20" s="80"/>
      <c r="AG20" s="81"/>
      <c r="AH20" s="80"/>
      <c r="AI20" s="362" t="s">
        <v>302</v>
      </c>
      <c r="AJ20" s="363"/>
      <c r="AK20" s="80"/>
      <c r="AL20" s="81"/>
      <c r="AM20" s="80"/>
      <c r="AN20" s="362" t="s">
        <v>302</v>
      </c>
      <c r="AO20" s="363"/>
      <c r="AP20" s="80"/>
      <c r="AQ20" s="81"/>
    </row>
    <row r="21" spans="1:43" x14ac:dyDescent="0.25">
      <c r="B21" s="272" t="s">
        <v>82</v>
      </c>
      <c r="C21" s="74"/>
      <c r="D21" s="85">
        <f>D15-D20</f>
        <v>2009</v>
      </c>
      <c r="E21" s="85">
        <f t="shared" ref="E21:F21" si="16">E15-E20</f>
        <v>2746</v>
      </c>
      <c r="F21" s="85">
        <f t="shared" si="16"/>
        <v>3122</v>
      </c>
      <c r="G21" s="85">
        <f>G15-G20</f>
        <v>4550</v>
      </c>
      <c r="H21" s="86">
        <f>H15-H20</f>
        <v>12427</v>
      </c>
      <c r="I21" s="85">
        <f>I15-I20</f>
        <v>3327</v>
      </c>
      <c r="J21" s="85">
        <f t="shared" ref="J21" si="17">J15-J20</f>
        <v>4401</v>
      </c>
      <c r="K21" s="85">
        <f t="shared" ref="K21" si="18">K15-K20</f>
        <v>5122</v>
      </c>
      <c r="L21" s="85">
        <f>L15-L20</f>
        <v>7352</v>
      </c>
      <c r="M21" s="86">
        <f>M15-M20</f>
        <v>20202</v>
      </c>
      <c r="N21" s="85">
        <f>N15-N20</f>
        <v>5449</v>
      </c>
      <c r="O21" s="85">
        <f t="shared" ref="O21" si="19">O15-O20</f>
        <v>5863</v>
      </c>
      <c r="P21" s="85">
        <f t="shared" ref="P21" si="20">P15-P20</f>
        <v>5781</v>
      </c>
      <c r="Q21" s="85">
        <f>Q15-Q20</f>
        <v>7820</v>
      </c>
      <c r="R21" s="86">
        <f>R15-R20</f>
        <v>24913</v>
      </c>
      <c r="S21" s="318">
        <f>S15-S20</f>
        <v>5431.9699999999993</v>
      </c>
      <c r="T21" s="318">
        <f t="shared" ref="T21" si="21">T15-T20</f>
        <v>5907.7999999999993</v>
      </c>
      <c r="U21" s="318">
        <f t="shared" ref="U21" si="22">U15-U20</f>
        <v>5924.7</v>
      </c>
      <c r="V21" s="318">
        <f>V15-V20</f>
        <v>8141.9599999999991</v>
      </c>
      <c r="W21" s="86">
        <f>W15-W20</f>
        <v>25406.43</v>
      </c>
      <c r="X21" s="85"/>
      <c r="Y21" s="364"/>
      <c r="Z21" s="365"/>
      <c r="AA21" s="85"/>
      <c r="AB21" s="86"/>
      <c r="AC21" s="85"/>
      <c r="AD21" s="364"/>
      <c r="AE21" s="365"/>
      <c r="AF21" s="85"/>
      <c r="AG21" s="86"/>
      <c r="AH21" s="85"/>
      <c r="AI21" s="364"/>
      <c r="AJ21" s="365"/>
      <c r="AK21" s="85"/>
      <c r="AL21" s="86"/>
      <c r="AM21" s="85"/>
      <c r="AN21" s="364"/>
      <c r="AO21" s="365"/>
      <c r="AP21" s="85"/>
      <c r="AQ21" s="86"/>
    </row>
    <row r="22" spans="1:43" ht="17.25" x14ac:dyDescent="0.4">
      <c r="B22" s="139" t="s">
        <v>186</v>
      </c>
      <c r="C22" s="138"/>
      <c r="D22" s="78">
        <v>56</v>
      </c>
      <c r="E22" s="78">
        <v>20</v>
      </c>
      <c r="F22" s="78">
        <v>47</v>
      </c>
      <c r="G22" s="78">
        <v>-32</v>
      </c>
      <c r="H22" s="96">
        <f t="shared" ref="H22" si="23">SUM(D22:G22)</f>
        <v>91</v>
      </c>
      <c r="I22" s="78">
        <v>81</v>
      </c>
      <c r="J22" s="78">
        <v>87</v>
      </c>
      <c r="K22" s="78">
        <v>114</v>
      </c>
      <c r="L22" s="285">
        <v>110</v>
      </c>
      <c r="M22" s="96">
        <f t="shared" ref="M22" si="24">SUM(I22:L22)</f>
        <v>392</v>
      </c>
      <c r="N22" s="285">
        <v>161</v>
      </c>
      <c r="O22" s="285">
        <v>5</v>
      </c>
      <c r="P22" s="285">
        <v>131</v>
      </c>
      <c r="Q22" s="285">
        <v>151</v>
      </c>
      <c r="R22" s="96">
        <f t="shared" ref="R22" si="25">SUM(N22:Q22)</f>
        <v>448</v>
      </c>
      <c r="S22" s="118">
        <f>AVERAGE(Q22,P22,O22,N22)</f>
        <v>112</v>
      </c>
      <c r="T22" s="118">
        <f>AVERAGE(S22,Q22,P22,O22)</f>
        <v>99.75</v>
      </c>
      <c r="U22" s="118">
        <f>AVERAGE(T22,S22,Q22,P22)</f>
        <v>123.4375</v>
      </c>
      <c r="V22" s="118">
        <f>AVERAGE(U22,T22,S22,Q22)</f>
        <v>121.546875</v>
      </c>
      <c r="W22" s="96">
        <f t="shared" ref="W22" si="26">SUM(S22:V22)</f>
        <v>456.734375</v>
      </c>
      <c r="X22" s="78"/>
      <c r="Y22" s="364"/>
      <c r="Z22" s="365"/>
      <c r="AA22" s="78"/>
      <c r="AB22" s="96"/>
      <c r="AC22" s="78"/>
      <c r="AD22" s="364"/>
      <c r="AE22" s="365"/>
      <c r="AF22" s="78"/>
      <c r="AG22" s="96"/>
      <c r="AH22" s="78"/>
      <c r="AI22" s="364"/>
      <c r="AJ22" s="365"/>
      <c r="AK22" s="78"/>
      <c r="AL22" s="96"/>
      <c r="AM22" s="78"/>
      <c r="AN22" s="364"/>
      <c r="AO22" s="365"/>
      <c r="AP22" s="78"/>
      <c r="AQ22" s="96"/>
    </row>
    <row r="23" spans="1:43" x14ac:dyDescent="0.25">
      <c r="B23" s="392" t="s">
        <v>83</v>
      </c>
      <c r="C23" s="393"/>
      <c r="D23" s="85">
        <f t="shared" ref="D23:W23" si="27">D21+D22</f>
        <v>2065</v>
      </c>
      <c r="E23" s="85">
        <f t="shared" si="27"/>
        <v>2766</v>
      </c>
      <c r="F23" s="85">
        <f t="shared" si="27"/>
        <v>3169</v>
      </c>
      <c r="G23" s="85">
        <f t="shared" si="27"/>
        <v>4518</v>
      </c>
      <c r="H23" s="86">
        <f t="shared" si="27"/>
        <v>12518</v>
      </c>
      <c r="I23" s="85">
        <f t="shared" si="27"/>
        <v>3408</v>
      </c>
      <c r="J23" s="85">
        <f t="shared" si="27"/>
        <v>4488</v>
      </c>
      <c r="K23" s="85">
        <f t="shared" si="27"/>
        <v>5236</v>
      </c>
      <c r="L23" s="85">
        <f t="shared" si="27"/>
        <v>7462</v>
      </c>
      <c r="M23" s="86">
        <f t="shared" si="27"/>
        <v>20594</v>
      </c>
      <c r="N23" s="85">
        <f t="shared" si="27"/>
        <v>5610</v>
      </c>
      <c r="O23" s="85">
        <f t="shared" si="27"/>
        <v>5868</v>
      </c>
      <c r="P23" s="85">
        <f t="shared" si="27"/>
        <v>5912</v>
      </c>
      <c r="Q23" s="85">
        <f t="shared" si="27"/>
        <v>7971</v>
      </c>
      <c r="R23" s="86">
        <f t="shared" si="27"/>
        <v>25361</v>
      </c>
      <c r="S23" s="85">
        <f t="shared" si="27"/>
        <v>5543.9699999999993</v>
      </c>
      <c r="T23" s="85">
        <f t="shared" si="27"/>
        <v>6007.5499999999993</v>
      </c>
      <c r="U23" s="85">
        <f t="shared" si="27"/>
        <v>6048.1374999999998</v>
      </c>
      <c r="V23" s="85">
        <f t="shared" si="27"/>
        <v>8263.5068749999991</v>
      </c>
      <c r="W23" s="86">
        <f t="shared" si="27"/>
        <v>25863.164375</v>
      </c>
      <c r="X23" s="85"/>
      <c r="Y23" s="366"/>
      <c r="Z23" s="367"/>
      <c r="AA23" s="85"/>
      <c r="AB23" s="86"/>
      <c r="AC23" s="85"/>
      <c r="AD23" s="366"/>
      <c r="AE23" s="367"/>
      <c r="AF23" s="85"/>
      <c r="AG23" s="86"/>
      <c r="AH23" s="85"/>
      <c r="AI23" s="366"/>
      <c r="AJ23" s="367"/>
      <c r="AK23" s="85"/>
      <c r="AL23" s="86"/>
      <c r="AM23" s="85"/>
      <c r="AN23" s="366"/>
      <c r="AO23" s="367"/>
      <c r="AP23" s="85"/>
      <c r="AQ23" s="86"/>
    </row>
    <row r="24" spans="1:43" ht="17.25" x14ac:dyDescent="0.4">
      <c r="B24" s="360" t="s">
        <v>40</v>
      </c>
      <c r="C24" s="361"/>
      <c r="D24" s="78">
        <v>-555</v>
      </c>
      <c r="E24" s="78">
        <v>-711</v>
      </c>
      <c r="F24" s="78">
        <v>-790</v>
      </c>
      <c r="G24" s="78">
        <f>-2301-F24-E24-D24</f>
        <v>-245</v>
      </c>
      <c r="H24" s="96">
        <f>SUM(D24:G24)</f>
        <v>-2301</v>
      </c>
      <c r="I24" s="78">
        <v>-344</v>
      </c>
      <c r="J24" s="78">
        <v>-594</v>
      </c>
      <c r="K24" s="78">
        <v>-529</v>
      </c>
      <c r="L24" s="285">
        <v>-3194</v>
      </c>
      <c r="M24" s="96">
        <f>SUM(I24:L24)</f>
        <v>-4661</v>
      </c>
      <c r="N24" s="285">
        <v>-622</v>
      </c>
      <c r="O24" s="285">
        <v>-762</v>
      </c>
      <c r="P24" s="285">
        <v>-775</v>
      </c>
      <c r="Q24" s="285">
        <v>-1089</v>
      </c>
      <c r="R24" s="96">
        <f>SUM(N24:Q24)</f>
        <v>-3248</v>
      </c>
      <c r="S24" s="78">
        <f>+S23*-S75</f>
        <v>-844.93888431064318</v>
      </c>
      <c r="T24" s="78">
        <f>+T23*-T75</f>
        <v>-936.34681039675559</v>
      </c>
      <c r="U24" s="78">
        <f>+U23*-U75</f>
        <v>-948.22444971849188</v>
      </c>
      <c r="V24" s="78">
        <f>+V23*-V75</f>
        <v>-1322.1610999999998</v>
      </c>
      <c r="W24" s="96">
        <f>SUM(S24:V24)</f>
        <v>-4051.6712444258906</v>
      </c>
      <c r="X24" s="78"/>
      <c r="Y24" s="78"/>
      <c r="Z24" s="78"/>
      <c r="AA24" s="78"/>
      <c r="AB24" s="96"/>
      <c r="AC24" s="78"/>
      <c r="AD24" s="78"/>
      <c r="AE24" s="78"/>
      <c r="AF24" s="78"/>
      <c r="AG24" s="96"/>
      <c r="AH24" s="78"/>
      <c r="AI24" s="78"/>
      <c r="AJ24" s="78"/>
      <c r="AK24" s="78"/>
      <c r="AL24" s="96"/>
      <c r="AM24" s="78"/>
      <c r="AN24" s="78"/>
      <c r="AO24" s="78"/>
      <c r="AP24" s="78"/>
      <c r="AQ24" s="96"/>
    </row>
    <row r="25" spans="1:43" x14ac:dyDescent="0.25">
      <c r="A25" s="87"/>
      <c r="B25" s="392" t="s">
        <v>51</v>
      </c>
      <c r="C25" s="393"/>
      <c r="D25" s="85">
        <f t="shared" ref="D25:W25" si="28">+D23+D24</f>
        <v>1510</v>
      </c>
      <c r="E25" s="85">
        <f t="shared" si="28"/>
        <v>2055</v>
      </c>
      <c r="F25" s="85">
        <f t="shared" si="28"/>
        <v>2379</v>
      </c>
      <c r="G25" s="85">
        <f t="shared" si="28"/>
        <v>4273</v>
      </c>
      <c r="H25" s="86">
        <f t="shared" si="28"/>
        <v>10217</v>
      </c>
      <c r="I25" s="85">
        <f t="shared" si="28"/>
        <v>3064</v>
      </c>
      <c r="J25" s="85">
        <f t="shared" si="28"/>
        <v>3894</v>
      </c>
      <c r="K25" s="85">
        <f t="shared" si="28"/>
        <v>4707</v>
      </c>
      <c r="L25" s="85">
        <f t="shared" si="28"/>
        <v>4268</v>
      </c>
      <c r="M25" s="86">
        <f t="shared" si="28"/>
        <v>15933</v>
      </c>
      <c r="N25" s="85">
        <f t="shared" si="28"/>
        <v>4988</v>
      </c>
      <c r="O25" s="85">
        <f t="shared" si="28"/>
        <v>5106</v>
      </c>
      <c r="P25" s="85">
        <f t="shared" si="28"/>
        <v>5137</v>
      </c>
      <c r="Q25" s="85">
        <f t="shared" si="28"/>
        <v>6882</v>
      </c>
      <c r="R25" s="86">
        <f t="shared" si="28"/>
        <v>22113</v>
      </c>
      <c r="S25" s="85">
        <f t="shared" si="28"/>
        <v>4699.0311156893558</v>
      </c>
      <c r="T25" s="85">
        <f t="shared" si="28"/>
        <v>5071.203189603244</v>
      </c>
      <c r="U25" s="85">
        <f t="shared" si="28"/>
        <v>5099.9130502815078</v>
      </c>
      <c r="V25" s="85">
        <f t="shared" si="28"/>
        <v>6941.3457749999998</v>
      </c>
      <c r="W25" s="86">
        <f t="shared" si="28"/>
        <v>21811.493130574108</v>
      </c>
      <c r="X25" s="85"/>
      <c r="Y25" s="85"/>
      <c r="Z25" s="85"/>
      <c r="AA25" s="85"/>
      <c r="AB25" s="86"/>
      <c r="AC25" s="85"/>
      <c r="AD25" s="85"/>
      <c r="AE25" s="85"/>
      <c r="AF25" s="85"/>
      <c r="AG25" s="86"/>
      <c r="AH25" s="85"/>
      <c r="AI25" s="85"/>
      <c r="AJ25" s="85"/>
      <c r="AK25" s="85"/>
      <c r="AL25" s="86"/>
      <c r="AM25" s="85"/>
      <c r="AN25" s="85"/>
      <c r="AO25" s="85"/>
      <c r="AP25" s="85"/>
      <c r="AQ25" s="86"/>
    </row>
    <row r="26" spans="1:43" ht="17.25" x14ac:dyDescent="0.4">
      <c r="A26" s="87"/>
      <c r="B26" s="93" t="s">
        <v>187</v>
      </c>
      <c r="C26" s="245"/>
      <c r="D26" s="78">
        <v>5</v>
      </c>
      <c r="E26" s="78">
        <v>7</v>
      </c>
      <c r="F26" s="78">
        <v>6</v>
      </c>
      <c r="G26" s="78">
        <v>7</v>
      </c>
      <c r="H26" s="96">
        <f>SUM(D26:G26)</f>
        <v>25</v>
      </c>
      <c r="I26" s="78">
        <v>5</v>
      </c>
      <c r="J26" s="78">
        <v>4</v>
      </c>
      <c r="K26" s="78">
        <v>3</v>
      </c>
      <c r="L26" s="78">
        <v>2</v>
      </c>
      <c r="M26" s="96">
        <f>SUM(I26:L26)</f>
        <v>14</v>
      </c>
      <c r="N26" s="78">
        <v>1</v>
      </c>
      <c r="O26" s="78">
        <v>0</v>
      </c>
      <c r="P26" s="78">
        <v>0</v>
      </c>
      <c r="Q26" s="78">
        <v>0</v>
      </c>
      <c r="R26" s="96">
        <f>SUM(N26:Q26)</f>
        <v>1</v>
      </c>
      <c r="S26" s="118">
        <v>0</v>
      </c>
      <c r="T26" s="118">
        <v>0</v>
      </c>
      <c r="U26" s="118">
        <v>0</v>
      </c>
      <c r="V26" s="118">
        <v>0</v>
      </c>
      <c r="W26" s="96">
        <f>SUM(S26:V26)</f>
        <v>0</v>
      </c>
      <c r="X26" s="78"/>
      <c r="Y26" s="78"/>
      <c r="Z26" s="78"/>
      <c r="AA26" s="78"/>
      <c r="AB26" s="96"/>
      <c r="AC26" s="78"/>
      <c r="AD26" s="78"/>
      <c r="AE26" s="78"/>
      <c r="AF26" s="78"/>
      <c r="AG26" s="96"/>
      <c r="AH26" s="78"/>
      <c r="AI26" s="78"/>
      <c r="AJ26" s="78"/>
      <c r="AK26" s="78"/>
      <c r="AL26" s="96"/>
      <c r="AM26" s="78"/>
      <c r="AN26" s="78"/>
      <c r="AO26" s="78"/>
      <c r="AP26" s="78"/>
      <c r="AQ26" s="96"/>
    </row>
    <row r="27" spans="1:43" s="38" customFormat="1" x14ac:dyDescent="0.25">
      <c r="A27" s="82"/>
      <c r="B27" s="246" t="s">
        <v>188</v>
      </c>
      <c r="C27" s="250"/>
      <c r="D27" s="85">
        <f>+D25-D26</f>
        <v>1505</v>
      </c>
      <c r="E27" s="85">
        <f t="shared" ref="E27:G27" si="29">+E25-E26</f>
        <v>2048</v>
      </c>
      <c r="F27" s="85">
        <f t="shared" si="29"/>
        <v>2373</v>
      </c>
      <c r="G27" s="85">
        <f t="shared" si="29"/>
        <v>4266</v>
      </c>
      <c r="H27" s="86">
        <f>+H25-H26</f>
        <v>10192</v>
      </c>
      <c r="I27" s="85">
        <f t="shared" ref="I27:M27" si="30">+I25-I26</f>
        <v>3059</v>
      </c>
      <c r="J27" s="85">
        <f t="shared" si="30"/>
        <v>3890</v>
      </c>
      <c r="K27" s="85">
        <f t="shared" si="30"/>
        <v>4704</v>
      </c>
      <c r="L27" s="85">
        <f t="shared" si="30"/>
        <v>4266</v>
      </c>
      <c r="M27" s="86">
        <f t="shared" si="30"/>
        <v>15919</v>
      </c>
      <c r="N27" s="85">
        <f t="shared" ref="N27" si="31">+N25-N26</f>
        <v>4987</v>
      </c>
      <c r="O27" s="85">
        <f t="shared" ref="O27" si="32">+O25-O26</f>
        <v>5106</v>
      </c>
      <c r="P27" s="85">
        <f t="shared" ref="P27" si="33">+P25-P26</f>
        <v>5137</v>
      </c>
      <c r="Q27" s="85">
        <f t="shared" ref="Q27" si="34">+Q25-Q26</f>
        <v>6882</v>
      </c>
      <c r="R27" s="86">
        <f t="shared" ref="R27" si="35">+R25-R26</f>
        <v>22112</v>
      </c>
      <c r="S27" s="85">
        <f t="shared" ref="S27" si="36">+S25-S26</f>
        <v>4699.0311156893558</v>
      </c>
      <c r="T27" s="85">
        <f t="shared" ref="T27" si="37">+T25-T26</f>
        <v>5071.203189603244</v>
      </c>
      <c r="U27" s="85">
        <f t="shared" ref="U27" si="38">+U25-U26</f>
        <v>5099.9130502815078</v>
      </c>
      <c r="V27" s="85">
        <f t="shared" ref="V27" si="39">+V25-V26</f>
        <v>6941.3457749999998</v>
      </c>
      <c r="W27" s="86">
        <f t="shared" ref="W27" si="40">+W25-W26</f>
        <v>21811.493130574108</v>
      </c>
      <c r="X27" s="85"/>
      <c r="Y27" s="85"/>
      <c r="Z27" s="85"/>
      <c r="AA27" s="85"/>
      <c r="AB27" s="86"/>
      <c r="AC27" s="85"/>
      <c r="AD27" s="85"/>
      <c r="AE27" s="85"/>
      <c r="AF27" s="85"/>
      <c r="AG27" s="86"/>
      <c r="AH27" s="85"/>
      <c r="AI27" s="85"/>
      <c r="AJ27" s="85"/>
      <c r="AK27" s="85"/>
      <c r="AL27" s="86"/>
      <c r="AM27" s="85"/>
      <c r="AN27" s="85"/>
      <c r="AO27" s="85"/>
      <c r="AP27" s="85"/>
      <c r="AQ27" s="86"/>
    </row>
    <row r="28" spans="1:43" x14ac:dyDescent="0.25">
      <c r="B28" s="358" t="s">
        <v>0</v>
      </c>
      <c r="C28" s="359"/>
      <c r="D28" s="77">
        <v>2843</v>
      </c>
      <c r="E28" s="77">
        <v>2856</v>
      </c>
      <c r="F28" s="77">
        <v>2871</v>
      </c>
      <c r="G28" s="77">
        <v>2882</v>
      </c>
      <c r="H28" s="88">
        <v>2863.4998999999998</v>
      </c>
      <c r="I28" s="77">
        <v>2891</v>
      </c>
      <c r="J28" s="77">
        <v>2900</v>
      </c>
      <c r="K28" s="77">
        <v>2904</v>
      </c>
      <c r="L28" s="195">
        <v>2907</v>
      </c>
      <c r="M28" s="88">
        <v>2901</v>
      </c>
      <c r="N28" s="195">
        <v>2906</v>
      </c>
      <c r="O28" s="195">
        <v>2895</v>
      </c>
      <c r="P28" s="195">
        <v>2885</v>
      </c>
      <c r="Q28" s="195">
        <v>2872</v>
      </c>
      <c r="R28" s="88">
        <v>2890</v>
      </c>
      <c r="S28" s="77">
        <f>Q28*(1+S78)-S82</f>
        <v>2877.0499998867572</v>
      </c>
      <c r="T28" s="77">
        <f>S28*(1+T78)-T82</f>
        <v>2883.876733071711</v>
      </c>
      <c r="U28" s="77">
        <f>T28*(1+U78)-U82</f>
        <v>2893.2273803690537</v>
      </c>
      <c r="V28" s="77">
        <f>U28*(1+V78)-V82</f>
        <v>2902.1407016858011</v>
      </c>
      <c r="W28" s="88">
        <f>(S28*S25/W25)+(T28*T25/W25)+(U28*U25/W25)+(V28*V25/W25)</f>
        <v>2890.4047124744711</v>
      </c>
      <c r="X28" s="77"/>
      <c r="Y28" s="77"/>
      <c r="Z28" s="77"/>
      <c r="AA28" s="77"/>
      <c r="AB28" s="88"/>
      <c r="AC28" s="77"/>
      <c r="AD28" s="77"/>
      <c r="AE28" s="77"/>
      <c r="AF28" s="77"/>
      <c r="AG28" s="88"/>
      <c r="AH28" s="77"/>
      <c r="AI28" s="77"/>
      <c r="AJ28" s="77"/>
      <c r="AK28" s="77"/>
      <c r="AL28" s="88"/>
      <c r="AM28" s="77"/>
      <c r="AN28" s="77"/>
      <c r="AO28" s="77"/>
      <c r="AP28" s="77"/>
      <c r="AQ28" s="88"/>
    </row>
    <row r="29" spans="1:43" ht="15.75" customHeight="1" x14ac:dyDescent="0.25">
      <c r="B29" s="358" t="s">
        <v>1</v>
      </c>
      <c r="C29" s="359"/>
      <c r="D29" s="77">
        <v>2888</v>
      </c>
      <c r="E29" s="77">
        <v>2904</v>
      </c>
      <c r="F29" s="77">
        <v>2915</v>
      </c>
      <c r="G29" s="77">
        <v>2938</v>
      </c>
      <c r="H29" s="88">
        <v>2925</v>
      </c>
      <c r="I29" s="77">
        <v>2944</v>
      </c>
      <c r="J29" s="77">
        <v>2951</v>
      </c>
      <c r="K29" s="77">
        <v>2956</v>
      </c>
      <c r="L29" s="195">
        <v>2954</v>
      </c>
      <c r="M29" s="88">
        <v>2956</v>
      </c>
      <c r="N29" s="195">
        <v>2945</v>
      </c>
      <c r="O29" s="195">
        <v>2930</v>
      </c>
      <c r="P29" s="195">
        <v>2913</v>
      </c>
      <c r="Q29" s="195">
        <v>2886</v>
      </c>
      <c r="R29" s="88">
        <v>2921</v>
      </c>
      <c r="S29" s="77">
        <f>Q29*(1+S79)-S82</f>
        <v>2882.8411752695465</v>
      </c>
      <c r="T29" s="77">
        <f>S29*(1+T79)-T82</f>
        <v>2881.3654486382052</v>
      </c>
      <c r="U29" s="77">
        <f>T29*(1+U79)-U82</f>
        <v>2881.306808068648</v>
      </c>
      <c r="V29" s="77">
        <f>U29*(1+V79)-V82</f>
        <v>2880.1865639610746</v>
      </c>
      <c r="W29" s="88">
        <f>(S29*S25/W25)+(T29*T25/W25)+(U29*U25/W25)+(V29*V25/W25)</f>
        <v>2881.2944941826536</v>
      </c>
      <c r="X29" s="77"/>
      <c r="Y29" s="77"/>
      <c r="Z29" s="77"/>
      <c r="AA29" s="77"/>
      <c r="AB29" s="88"/>
      <c r="AC29" s="77"/>
      <c r="AD29" s="77"/>
      <c r="AE29" s="77"/>
      <c r="AF29" s="77"/>
      <c r="AG29" s="88"/>
      <c r="AH29" s="77"/>
      <c r="AI29" s="77"/>
      <c r="AJ29" s="77"/>
      <c r="AK29" s="77"/>
      <c r="AL29" s="88"/>
      <c r="AM29" s="77"/>
      <c r="AN29" s="77"/>
      <c r="AO29" s="77"/>
      <c r="AP29" s="77"/>
      <c r="AQ29" s="88"/>
    </row>
    <row r="30" spans="1:43" ht="15.75" customHeight="1" x14ac:dyDescent="0.25">
      <c r="B30" s="390" t="s">
        <v>52</v>
      </c>
      <c r="C30" s="391"/>
      <c r="D30" s="89">
        <f t="shared" ref="D30:W30" si="41">D25/D28</f>
        <v>0.53112908899050304</v>
      </c>
      <c r="E30" s="89">
        <f t="shared" si="41"/>
        <v>0.71953781512605042</v>
      </c>
      <c r="F30" s="89">
        <f t="shared" si="41"/>
        <v>0.82863113897596652</v>
      </c>
      <c r="G30" s="89">
        <f t="shared" si="41"/>
        <v>1.4826509368494101</v>
      </c>
      <c r="H30" s="90">
        <f t="shared" si="41"/>
        <v>3.5680112997384774</v>
      </c>
      <c r="I30" s="89">
        <f t="shared" si="41"/>
        <v>1.0598408855067452</v>
      </c>
      <c r="J30" s="89">
        <f t="shared" si="41"/>
        <v>1.3427586206896551</v>
      </c>
      <c r="K30" s="89">
        <f t="shared" si="41"/>
        <v>1.6208677685950412</v>
      </c>
      <c r="L30" s="89">
        <f t="shared" si="41"/>
        <v>1.4681802545579636</v>
      </c>
      <c r="M30" s="90">
        <f t="shared" si="41"/>
        <v>5.4922440537745603</v>
      </c>
      <c r="N30" s="89">
        <f t="shared" si="41"/>
        <v>1.7164487267721955</v>
      </c>
      <c r="O30" s="89">
        <f t="shared" si="41"/>
        <v>1.7637305699481864</v>
      </c>
      <c r="P30" s="89">
        <f t="shared" si="41"/>
        <v>1.7805892547660311</v>
      </c>
      <c r="Q30" s="89">
        <f t="shared" si="41"/>
        <v>2.3962395543175488</v>
      </c>
      <c r="R30" s="90">
        <f t="shared" si="41"/>
        <v>7.6515570934256054</v>
      </c>
      <c r="S30" s="89">
        <f t="shared" si="41"/>
        <v>1.6332810051526088</v>
      </c>
      <c r="T30" s="89">
        <f t="shared" si="41"/>
        <v>1.7584673892083247</v>
      </c>
      <c r="U30" s="89">
        <f t="shared" si="41"/>
        <v>1.7627073091057828</v>
      </c>
      <c r="V30" s="89">
        <f t="shared" si="41"/>
        <v>2.3918019450152426</v>
      </c>
      <c r="W30" s="90">
        <f t="shared" si="41"/>
        <v>7.5461726990824483</v>
      </c>
      <c r="X30" s="89"/>
      <c r="Y30" s="89"/>
      <c r="Z30" s="89"/>
      <c r="AA30" s="89"/>
      <c r="AB30" s="90"/>
      <c r="AC30" s="89"/>
      <c r="AD30" s="89"/>
      <c r="AE30" s="89"/>
      <c r="AF30" s="89"/>
      <c r="AG30" s="90"/>
      <c r="AH30" s="89"/>
      <c r="AI30" s="89"/>
      <c r="AJ30" s="89"/>
      <c r="AK30" s="89"/>
      <c r="AL30" s="90"/>
      <c r="AM30" s="89"/>
      <c r="AN30" s="89"/>
      <c r="AO30" s="89"/>
      <c r="AP30" s="89"/>
      <c r="AQ30" s="90"/>
    </row>
    <row r="31" spans="1:43" x14ac:dyDescent="0.25">
      <c r="B31" s="388" t="s">
        <v>53</v>
      </c>
      <c r="C31" s="389"/>
      <c r="D31" s="292">
        <f t="shared" ref="D31:W31" si="42">D25/D29</f>
        <v>0.52285318559556782</v>
      </c>
      <c r="E31" s="292">
        <f t="shared" si="42"/>
        <v>0.7076446280991735</v>
      </c>
      <c r="F31" s="292">
        <f t="shared" si="42"/>
        <v>0.81612349914236704</v>
      </c>
      <c r="G31" s="292">
        <f t="shared" si="42"/>
        <v>1.4543907420013615</v>
      </c>
      <c r="H31" s="293">
        <f t="shared" si="42"/>
        <v>3.4929914529914532</v>
      </c>
      <c r="I31" s="292">
        <f t="shared" si="42"/>
        <v>1.0407608695652173</v>
      </c>
      <c r="J31" s="292">
        <f t="shared" si="42"/>
        <v>1.3195526940020332</v>
      </c>
      <c r="K31" s="292">
        <f t="shared" si="42"/>
        <v>1.5923545331529094</v>
      </c>
      <c r="L31" s="292">
        <f t="shared" si="42"/>
        <v>1.4448205822613405</v>
      </c>
      <c r="M31" s="293">
        <f t="shared" si="42"/>
        <v>5.3900541271989173</v>
      </c>
      <c r="N31" s="292">
        <f t="shared" si="42"/>
        <v>1.6937181663837011</v>
      </c>
      <c r="O31" s="292">
        <f t="shared" si="42"/>
        <v>1.7426621160409557</v>
      </c>
      <c r="P31" s="292">
        <f t="shared" si="42"/>
        <v>1.7634740817027119</v>
      </c>
      <c r="Q31" s="292">
        <f t="shared" si="42"/>
        <v>2.3846153846153846</v>
      </c>
      <c r="R31" s="293">
        <f t="shared" si="42"/>
        <v>7.5703526189661074</v>
      </c>
      <c r="S31" s="319">
        <f t="shared" si="42"/>
        <v>1.6299999999999983</v>
      </c>
      <c r="T31" s="319">
        <f t="shared" si="42"/>
        <v>1.7600000000000011</v>
      </c>
      <c r="U31" s="319">
        <f t="shared" si="42"/>
        <v>1.7700000000000002</v>
      </c>
      <c r="V31" s="319">
        <f t="shared" si="42"/>
        <v>2.4100333852865692</v>
      </c>
      <c r="W31" s="293">
        <f t="shared" si="42"/>
        <v>7.5700325581476005</v>
      </c>
      <c r="X31" s="292"/>
      <c r="Y31" s="292"/>
      <c r="Z31" s="292"/>
      <c r="AA31" s="292"/>
      <c r="AB31" s="293"/>
      <c r="AC31" s="292"/>
      <c r="AD31" s="292"/>
      <c r="AE31" s="292"/>
      <c r="AF31" s="292"/>
      <c r="AG31" s="293"/>
      <c r="AH31" s="292"/>
      <c r="AI31" s="292"/>
      <c r="AJ31" s="292"/>
      <c r="AK31" s="292"/>
      <c r="AL31" s="293"/>
      <c r="AM31" s="292"/>
      <c r="AN31" s="292"/>
      <c r="AO31" s="292"/>
      <c r="AP31" s="292"/>
      <c r="AQ31" s="293"/>
    </row>
    <row r="32" spans="1:43" s="39" customFormat="1" x14ac:dyDescent="0.25">
      <c r="B32" s="92"/>
      <c r="C32" s="106"/>
      <c r="D32" s="106"/>
      <c r="E32" s="106"/>
      <c r="F32" s="106"/>
      <c r="G32" s="106"/>
      <c r="H32" s="42"/>
      <c r="I32" s="106"/>
      <c r="J32" s="106"/>
      <c r="K32" s="106"/>
      <c r="L32" s="106"/>
      <c r="M32" s="42"/>
      <c r="N32" s="106"/>
      <c r="O32" s="106"/>
      <c r="P32" s="106"/>
      <c r="Q32" s="106"/>
      <c r="R32" s="42"/>
      <c r="S32" s="183"/>
      <c r="T32" s="106"/>
      <c r="U32" s="106"/>
      <c r="V32" s="106"/>
      <c r="W32" s="42"/>
      <c r="X32" s="106"/>
      <c r="Y32" s="106"/>
      <c r="Z32" s="106"/>
      <c r="AA32" s="106"/>
      <c r="AB32" s="42"/>
      <c r="AC32" s="106"/>
      <c r="AD32" s="106"/>
      <c r="AE32" s="106"/>
      <c r="AF32" s="106"/>
      <c r="AG32" s="42"/>
      <c r="AH32" s="106"/>
      <c r="AI32" s="106"/>
      <c r="AJ32" s="106"/>
      <c r="AK32" s="106"/>
      <c r="AL32" s="42"/>
      <c r="AM32" s="106"/>
      <c r="AN32" s="106"/>
      <c r="AO32" s="106"/>
      <c r="AP32" s="106"/>
      <c r="AQ32" s="42"/>
    </row>
    <row r="33" spans="2:43" ht="15.75" x14ac:dyDescent="0.25">
      <c r="B33" s="374" t="s">
        <v>125</v>
      </c>
      <c r="C33" s="375"/>
      <c r="D33" s="67" t="s">
        <v>152</v>
      </c>
      <c r="E33" s="67" t="s">
        <v>153</v>
      </c>
      <c r="F33" s="67" t="s">
        <v>154</v>
      </c>
      <c r="G33" s="67" t="s">
        <v>155</v>
      </c>
      <c r="H33" s="176" t="s">
        <v>155</v>
      </c>
      <c r="I33" s="67" t="s">
        <v>139</v>
      </c>
      <c r="J33" s="67" t="s">
        <v>144</v>
      </c>
      <c r="K33" s="67" t="s">
        <v>145</v>
      </c>
      <c r="L33" s="67" t="s">
        <v>146</v>
      </c>
      <c r="M33" s="176" t="s">
        <v>146</v>
      </c>
      <c r="N33" s="67" t="s">
        <v>141</v>
      </c>
      <c r="O33" s="67" t="s">
        <v>140</v>
      </c>
      <c r="P33" s="67" t="s">
        <v>142</v>
      </c>
      <c r="Q33" s="67" t="s">
        <v>143</v>
      </c>
      <c r="R33" s="176" t="s">
        <v>143</v>
      </c>
      <c r="S33" s="69" t="s">
        <v>161</v>
      </c>
      <c r="T33" s="69" t="s">
        <v>162</v>
      </c>
      <c r="U33" s="69" t="s">
        <v>163</v>
      </c>
      <c r="V33" s="69" t="s">
        <v>164</v>
      </c>
      <c r="W33" s="180" t="s">
        <v>164</v>
      </c>
      <c r="X33" s="69" t="s">
        <v>165</v>
      </c>
      <c r="Y33" s="69" t="s">
        <v>166</v>
      </c>
      <c r="Z33" s="69" t="s">
        <v>167</v>
      </c>
      <c r="AA33" s="69" t="s">
        <v>168</v>
      </c>
      <c r="AB33" s="180" t="s">
        <v>168</v>
      </c>
      <c r="AC33" s="69" t="s">
        <v>169</v>
      </c>
      <c r="AD33" s="69" t="s">
        <v>170</v>
      </c>
      <c r="AE33" s="69" t="s">
        <v>171</v>
      </c>
      <c r="AF33" s="69" t="s">
        <v>172</v>
      </c>
      <c r="AG33" s="180" t="s">
        <v>172</v>
      </c>
      <c r="AH33" s="69" t="s">
        <v>173</v>
      </c>
      <c r="AI33" s="69" t="s">
        <v>174</v>
      </c>
      <c r="AJ33" s="69" t="s">
        <v>175</v>
      </c>
      <c r="AK33" s="69" t="s">
        <v>176</v>
      </c>
      <c r="AL33" s="180" t="s">
        <v>176</v>
      </c>
      <c r="AM33" s="69" t="s">
        <v>177</v>
      </c>
      <c r="AN33" s="69" t="s">
        <v>178</v>
      </c>
      <c r="AO33" s="69" t="s">
        <v>179</v>
      </c>
      <c r="AP33" s="69" t="s">
        <v>180</v>
      </c>
      <c r="AQ33" s="180" t="s">
        <v>180</v>
      </c>
    </row>
    <row r="34" spans="2:43" ht="17.25" x14ac:dyDescent="0.4">
      <c r="B34" s="386"/>
      <c r="C34" s="387"/>
      <c r="D34" s="68" t="s">
        <v>156</v>
      </c>
      <c r="E34" s="68" t="s">
        <v>157</v>
      </c>
      <c r="F34" s="68" t="s">
        <v>158</v>
      </c>
      <c r="G34" s="68" t="s">
        <v>159</v>
      </c>
      <c r="H34" s="177" t="s">
        <v>160</v>
      </c>
      <c r="I34" s="68" t="s">
        <v>147</v>
      </c>
      <c r="J34" s="68" t="s">
        <v>148</v>
      </c>
      <c r="K34" s="68" t="s">
        <v>149</v>
      </c>
      <c r="L34" s="68" t="s">
        <v>150</v>
      </c>
      <c r="M34" s="177" t="s">
        <v>151</v>
      </c>
      <c r="N34" s="68" t="s">
        <v>138</v>
      </c>
      <c r="O34" s="68" t="s">
        <v>137</v>
      </c>
      <c r="P34" s="68" t="s">
        <v>136</v>
      </c>
      <c r="Q34" s="68" t="s">
        <v>135</v>
      </c>
      <c r="R34" s="177" t="s">
        <v>134</v>
      </c>
      <c r="S34" s="66" t="s">
        <v>273</v>
      </c>
      <c r="T34" s="66" t="s">
        <v>274</v>
      </c>
      <c r="U34" s="66" t="s">
        <v>275</v>
      </c>
      <c r="V34" s="66" t="s">
        <v>276</v>
      </c>
      <c r="W34" s="181" t="s">
        <v>277</v>
      </c>
      <c r="X34" s="66" t="s">
        <v>278</v>
      </c>
      <c r="Y34" s="66" t="s">
        <v>279</v>
      </c>
      <c r="Z34" s="66" t="s">
        <v>280</v>
      </c>
      <c r="AA34" s="66" t="s">
        <v>281</v>
      </c>
      <c r="AB34" s="181" t="s">
        <v>282</v>
      </c>
      <c r="AC34" s="66" t="s">
        <v>283</v>
      </c>
      <c r="AD34" s="66" t="s">
        <v>284</v>
      </c>
      <c r="AE34" s="66" t="s">
        <v>285</v>
      </c>
      <c r="AF34" s="66" t="s">
        <v>286</v>
      </c>
      <c r="AG34" s="181" t="s">
        <v>287</v>
      </c>
      <c r="AH34" s="66" t="s">
        <v>288</v>
      </c>
      <c r="AI34" s="66" t="s">
        <v>289</v>
      </c>
      <c r="AJ34" s="66" t="s">
        <v>290</v>
      </c>
      <c r="AK34" s="66" t="s">
        <v>291</v>
      </c>
      <c r="AL34" s="181" t="s">
        <v>292</v>
      </c>
      <c r="AM34" s="66" t="s">
        <v>293</v>
      </c>
      <c r="AN34" s="66" t="s">
        <v>294</v>
      </c>
      <c r="AO34" s="66" t="s">
        <v>295</v>
      </c>
      <c r="AP34" s="66" t="s">
        <v>296</v>
      </c>
      <c r="AQ34" s="181" t="s">
        <v>297</v>
      </c>
    </row>
    <row r="35" spans="2:43" ht="15.75" x14ac:dyDescent="0.25">
      <c r="B35" s="374" t="s">
        <v>192</v>
      </c>
      <c r="C35" s="375"/>
      <c r="D35" s="67"/>
      <c r="E35" s="67"/>
      <c r="F35" s="67"/>
      <c r="G35" s="67"/>
      <c r="H35" s="176"/>
      <c r="I35" s="67"/>
      <c r="J35" s="67"/>
      <c r="K35" s="67"/>
      <c r="L35" s="67"/>
      <c r="M35" s="176"/>
      <c r="N35" s="67"/>
      <c r="O35" s="67"/>
      <c r="P35" s="67"/>
      <c r="Q35" s="67"/>
      <c r="R35" s="176"/>
      <c r="S35" s="69"/>
      <c r="T35" s="69"/>
      <c r="U35" s="69"/>
      <c r="V35" s="69"/>
      <c r="W35" s="180"/>
      <c r="X35" s="69"/>
      <c r="Y35" s="69"/>
      <c r="Z35" s="69"/>
      <c r="AA35" s="69"/>
      <c r="AB35" s="180"/>
      <c r="AC35" s="69"/>
      <c r="AD35" s="69"/>
      <c r="AE35" s="69"/>
      <c r="AF35" s="69"/>
      <c r="AG35" s="180"/>
      <c r="AH35" s="69"/>
      <c r="AI35" s="69"/>
      <c r="AJ35" s="69"/>
      <c r="AK35" s="69"/>
      <c r="AL35" s="180"/>
      <c r="AM35" s="69"/>
      <c r="AN35" s="69"/>
      <c r="AO35" s="69"/>
      <c r="AP35" s="69"/>
      <c r="AQ35" s="180"/>
    </row>
    <row r="36" spans="2:43" outlineLevel="1" x14ac:dyDescent="0.25">
      <c r="B36" s="247" t="s">
        <v>193</v>
      </c>
      <c r="C36" s="144"/>
      <c r="D36" s="128">
        <v>2740</v>
      </c>
      <c r="E36" s="128">
        <v>3212</v>
      </c>
      <c r="F36" s="128">
        <v>3560</v>
      </c>
      <c r="G36" s="128">
        <v>4556</v>
      </c>
      <c r="H36" s="37"/>
      <c r="I36" s="128">
        <v>3968</v>
      </c>
      <c r="J36" s="128">
        <v>4556</v>
      </c>
      <c r="K36" s="128">
        <v>5033</v>
      </c>
      <c r="L36" s="128">
        <v>6392</v>
      </c>
      <c r="M36" s="37"/>
      <c r="N36" s="128">
        <v>5667</v>
      </c>
      <c r="O36" s="128">
        <v>6251</v>
      </c>
      <c r="P36" s="128">
        <v>6667</v>
      </c>
      <c r="Q36" s="128">
        <v>8433</v>
      </c>
      <c r="R36" s="37"/>
      <c r="S36" s="128">
        <f>+((S42+Q42)/2)*S52</f>
        <v>6822.3305662547082</v>
      </c>
      <c r="T36" s="128">
        <f>+((T42+S42)/2)*T52</f>
        <v>7521.9411298781979</v>
      </c>
      <c r="U36" s="128">
        <f>+((U42+T42)/2)*U52</f>
        <v>8419.9119139101949</v>
      </c>
      <c r="V36" s="128">
        <f>+((V42+U42)/2)*V52</f>
        <v>10557.55079830871</v>
      </c>
      <c r="W36" s="37"/>
      <c r="X36" s="128"/>
      <c r="Y36" s="128"/>
      <c r="Z36" s="128"/>
      <c r="AA36" s="128"/>
      <c r="AB36" s="37"/>
      <c r="AC36" s="128"/>
      <c r="AD36" s="128"/>
      <c r="AE36" s="128"/>
      <c r="AF36" s="128"/>
      <c r="AG36" s="37"/>
      <c r="AH36" s="128"/>
      <c r="AI36" s="128"/>
      <c r="AJ36" s="128"/>
      <c r="AK36" s="128"/>
      <c r="AL36" s="37"/>
      <c r="AM36" s="128"/>
      <c r="AN36" s="128"/>
      <c r="AO36" s="128"/>
      <c r="AP36" s="128"/>
      <c r="AQ36" s="37"/>
    </row>
    <row r="37" spans="2:43" outlineLevel="1" x14ac:dyDescent="0.25">
      <c r="B37" s="247" t="s">
        <v>194</v>
      </c>
      <c r="C37" s="144"/>
      <c r="D37" s="128">
        <v>1307</v>
      </c>
      <c r="E37" s="128">
        <v>1585</v>
      </c>
      <c r="F37" s="128">
        <v>1605</v>
      </c>
      <c r="G37" s="128">
        <v>2065</v>
      </c>
      <c r="H37" s="37"/>
      <c r="I37" s="128">
        <v>1905</v>
      </c>
      <c r="J37" s="128">
        <v>2242</v>
      </c>
      <c r="K37" s="128">
        <v>2481</v>
      </c>
      <c r="L37" s="128">
        <v>3250</v>
      </c>
      <c r="M37" s="37"/>
      <c r="N37" s="128">
        <v>3036</v>
      </c>
      <c r="O37" s="128">
        <v>3302</v>
      </c>
      <c r="P37" s="128">
        <v>3313</v>
      </c>
      <c r="Q37" s="128">
        <v>4151</v>
      </c>
      <c r="R37" s="37"/>
      <c r="S37" s="128">
        <f>+((S44+Q44)/2)*S54</f>
        <v>3924.9620024412657</v>
      </c>
      <c r="T37" s="128">
        <f>+((T44+S44)/2)*T54</f>
        <v>4105.4297568834909</v>
      </c>
      <c r="U37" s="128">
        <f t="shared" ref="U37:V37" si="43">+((U44+T44)/2)*U54</f>
        <v>3923.4420995132873</v>
      </c>
      <c r="V37" s="128">
        <f t="shared" si="43"/>
        <v>4811.0961872967391</v>
      </c>
      <c r="W37" s="37"/>
      <c r="X37" s="128"/>
      <c r="Y37" s="128"/>
      <c r="Z37" s="128"/>
      <c r="AA37" s="128"/>
      <c r="AB37" s="37"/>
      <c r="AC37" s="128"/>
      <c r="AD37" s="128"/>
      <c r="AE37" s="128"/>
      <c r="AF37" s="128"/>
      <c r="AG37" s="37"/>
      <c r="AH37" s="128"/>
      <c r="AI37" s="128"/>
      <c r="AJ37" s="128"/>
      <c r="AK37" s="128"/>
      <c r="AL37" s="37"/>
      <c r="AM37" s="128"/>
      <c r="AN37" s="128"/>
      <c r="AO37" s="128"/>
      <c r="AP37" s="128"/>
      <c r="AQ37" s="37"/>
    </row>
    <row r="38" spans="2:43" outlineLevel="1" x14ac:dyDescent="0.25">
      <c r="B38" s="247" t="s">
        <v>195</v>
      </c>
      <c r="C38" s="151"/>
      <c r="D38" s="128">
        <v>862</v>
      </c>
      <c r="E38" s="128">
        <v>1025</v>
      </c>
      <c r="F38" s="128">
        <v>1154</v>
      </c>
      <c r="G38" s="128">
        <v>1349</v>
      </c>
      <c r="H38" s="37"/>
      <c r="I38" s="128">
        <v>1375</v>
      </c>
      <c r="J38" s="128">
        <v>1569</v>
      </c>
      <c r="K38" s="128">
        <v>1760</v>
      </c>
      <c r="L38" s="128">
        <v>2059</v>
      </c>
      <c r="M38" s="37"/>
      <c r="N38" s="128">
        <v>2091</v>
      </c>
      <c r="O38" s="128">
        <v>2316</v>
      </c>
      <c r="P38" s="128">
        <v>2422</v>
      </c>
      <c r="Q38" s="128">
        <v>2759</v>
      </c>
      <c r="R38" s="37"/>
      <c r="S38" s="128">
        <f>+((S46+Q46)/2)*S56</f>
        <v>2720.7700286181271</v>
      </c>
      <c r="T38" s="128">
        <f>+((T46+S46)/2)*T56</f>
        <v>3018.5717007638332</v>
      </c>
      <c r="U38" s="128">
        <f t="shared" ref="U38:V38" si="44">+((U46+T46)/2)*U56</f>
        <v>3056.1666053346275</v>
      </c>
      <c r="V38" s="128">
        <f t="shared" si="44"/>
        <v>3464.7819184785021</v>
      </c>
      <c r="W38" s="37"/>
      <c r="X38" s="128"/>
      <c r="Y38" s="128"/>
      <c r="Z38" s="128"/>
      <c r="AA38" s="128"/>
      <c r="AB38" s="37"/>
      <c r="AC38" s="128"/>
      <c r="AD38" s="128"/>
      <c r="AE38" s="128"/>
      <c r="AF38" s="128"/>
      <c r="AG38" s="37"/>
      <c r="AH38" s="128"/>
      <c r="AI38" s="128"/>
      <c r="AJ38" s="128"/>
      <c r="AK38" s="128"/>
      <c r="AL38" s="37"/>
      <c r="AM38" s="128"/>
      <c r="AN38" s="128"/>
      <c r="AO38" s="128"/>
      <c r="AP38" s="128"/>
      <c r="AQ38" s="37"/>
    </row>
    <row r="39" spans="2:43" s="108" customFormat="1" ht="17.25" outlineLevel="1" x14ac:dyDescent="0.4">
      <c r="B39" s="247" t="s">
        <v>196</v>
      </c>
      <c r="C39" s="248"/>
      <c r="D39" s="283">
        <v>473</v>
      </c>
      <c r="E39" s="283">
        <v>614</v>
      </c>
      <c r="F39" s="283">
        <v>692</v>
      </c>
      <c r="G39" s="283">
        <v>839</v>
      </c>
      <c r="H39" s="37"/>
      <c r="I39" s="283">
        <v>784</v>
      </c>
      <c r="J39" s="283">
        <v>954</v>
      </c>
      <c r="K39" s="283">
        <v>1054</v>
      </c>
      <c r="L39" s="283">
        <v>1271</v>
      </c>
      <c r="M39" s="37"/>
      <c r="N39" s="283">
        <v>1172</v>
      </c>
      <c r="O39" s="283">
        <v>1362</v>
      </c>
      <c r="P39" s="283">
        <v>1325</v>
      </c>
      <c r="Q39" s="283">
        <v>1571</v>
      </c>
      <c r="R39" s="37"/>
      <c r="S39" s="283">
        <f>+((S48+Q48)/2)*S58</f>
        <v>1487.4374026858959</v>
      </c>
      <c r="T39" s="283">
        <f>+((T48+S48)/2)*T58</f>
        <v>1712.8574124744775</v>
      </c>
      <c r="U39" s="283">
        <f t="shared" ref="U39:V39" si="45">+((U48+T48)/2)*U58</f>
        <v>1556.4793812418905</v>
      </c>
      <c r="V39" s="283">
        <f t="shared" si="45"/>
        <v>1827.1710959160478</v>
      </c>
      <c r="W39" s="37"/>
      <c r="X39" s="283"/>
      <c r="Y39" s="283"/>
      <c r="Z39" s="283"/>
      <c r="AA39" s="283"/>
      <c r="AB39" s="37"/>
      <c r="AC39" s="283"/>
      <c r="AD39" s="283"/>
      <c r="AE39" s="283"/>
      <c r="AF39" s="283"/>
      <c r="AG39" s="37"/>
      <c r="AH39" s="283"/>
      <c r="AI39" s="283"/>
      <c r="AJ39" s="283"/>
      <c r="AK39" s="283"/>
      <c r="AL39" s="37"/>
      <c r="AM39" s="283"/>
      <c r="AN39" s="283"/>
      <c r="AO39" s="283"/>
      <c r="AP39" s="283"/>
      <c r="AQ39" s="37"/>
    </row>
    <row r="40" spans="2:43" s="275" customFormat="1" outlineLevel="1" x14ac:dyDescent="0.25">
      <c r="B40" s="273" t="s">
        <v>80</v>
      </c>
      <c r="C40" s="251"/>
      <c r="D40" s="284">
        <f>SUM(D36:D39)</f>
        <v>5382</v>
      </c>
      <c r="E40" s="284">
        <f t="shared" ref="E40:G40" si="46">SUM(E36:E39)</f>
        <v>6436</v>
      </c>
      <c r="F40" s="284">
        <f t="shared" si="46"/>
        <v>7011</v>
      </c>
      <c r="G40" s="284">
        <f t="shared" si="46"/>
        <v>8809</v>
      </c>
      <c r="H40" s="274"/>
      <c r="I40" s="284">
        <f>SUM(I36:I39)</f>
        <v>8032</v>
      </c>
      <c r="J40" s="284">
        <f t="shared" ref="J40:L40" si="47">SUM(J36:J39)</f>
        <v>9321</v>
      </c>
      <c r="K40" s="284">
        <f t="shared" si="47"/>
        <v>10328</v>
      </c>
      <c r="L40" s="284">
        <f t="shared" si="47"/>
        <v>12972</v>
      </c>
      <c r="M40" s="274"/>
      <c r="N40" s="284">
        <f>SUM(N36:N39)</f>
        <v>11966</v>
      </c>
      <c r="O40" s="284">
        <f t="shared" ref="O40" si="48">SUM(O36:O39)</f>
        <v>13231</v>
      </c>
      <c r="P40" s="284">
        <f t="shared" ref="P40" si="49">SUM(P36:P39)</f>
        <v>13727</v>
      </c>
      <c r="Q40" s="284">
        <f t="shared" ref="Q40" si="50">SUM(Q36:Q39)</f>
        <v>16914</v>
      </c>
      <c r="R40" s="274"/>
      <c r="S40" s="284">
        <f>SUM(S36:S39)</f>
        <v>14955.499999999996</v>
      </c>
      <c r="T40" s="284">
        <f>SUM(T36:T39)</f>
        <v>16358.8</v>
      </c>
      <c r="U40" s="284">
        <f t="shared" ref="U40" si="51">SUM(U36:U39)</f>
        <v>16956</v>
      </c>
      <c r="V40" s="284">
        <f t="shared" ref="V40" si="52">SUM(V36:V39)</f>
        <v>20660.599999999999</v>
      </c>
      <c r="W40" s="274"/>
      <c r="X40" s="284"/>
      <c r="Y40" s="284"/>
      <c r="Z40" s="284"/>
      <c r="AA40" s="284"/>
      <c r="AB40" s="274"/>
      <c r="AC40" s="284"/>
      <c r="AD40" s="284"/>
      <c r="AE40" s="284"/>
      <c r="AF40" s="284"/>
      <c r="AG40" s="274"/>
      <c r="AH40" s="284"/>
      <c r="AI40" s="284"/>
      <c r="AJ40" s="284"/>
      <c r="AK40" s="284"/>
      <c r="AL40" s="274"/>
      <c r="AM40" s="284"/>
      <c r="AN40" s="284"/>
      <c r="AO40" s="284"/>
      <c r="AP40" s="284"/>
      <c r="AQ40" s="274"/>
    </row>
    <row r="41" spans="2:43" ht="18" x14ac:dyDescent="0.4">
      <c r="B41" s="374" t="s">
        <v>204</v>
      </c>
      <c r="C41" s="375"/>
      <c r="D41" s="68" t="s">
        <v>156</v>
      </c>
      <c r="E41" s="68" t="s">
        <v>157</v>
      </c>
      <c r="F41" s="68" t="s">
        <v>158</v>
      </c>
      <c r="G41" s="68" t="s">
        <v>159</v>
      </c>
      <c r="H41" s="177" t="s">
        <v>160</v>
      </c>
      <c r="I41" s="68" t="s">
        <v>147</v>
      </c>
      <c r="J41" s="68" t="s">
        <v>148</v>
      </c>
      <c r="K41" s="68" t="s">
        <v>149</v>
      </c>
      <c r="L41" s="68" t="s">
        <v>150</v>
      </c>
      <c r="M41" s="177" t="s">
        <v>151</v>
      </c>
      <c r="N41" s="68" t="s">
        <v>138</v>
      </c>
      <c r="O41" s="68" t="s">
        <v>137</v>
      </c>
      <c r="P41" s="68" t="s">
        <v>136</v>
      </c>
      <c r="Q41" s="68" t="s">
        <v>135</v>
      </c>
      <c r="R41" s="177" t="s">
        <v>134</v>
      </c>
      <c r="S41" s="66" t="s">
        <v>273</v>
      </c>
      <c r="T41" s="66" t="s">
        <v>274</v>
      </c>
      <c r="U41" s="66" t="s">
        <v>275</v>
      </c>
      <c r="V41" s="66" t="s">
        <v>276</v>
      </c>
      <c r="W41" s="181" t="s">
        <v>277</v>
      </c>
      <c r="X41" s="331"/>
      <c r="Y41" s="331"/>
      <c r="Z41" s="331"/>
      <c r="AA41" s="331"/>
      <c r="AB41" s="332"/>
      <c r="AC41" s="331"/>
      <c r="AD41" s="331"/>
      <c r="AE41" s="331"/>
      <c r="AF41" s="331"/>
      <c r="AG41" s="332"/>
      <c r="AH41" s="331"/>
      <c r="AI41" s="331"/>
      <c r="AJ41" s="331"/>
      <c r="AK41" s="331"/>
      <c r="AL41" s="332"/>
      <c r="AM41" s="331"/>
      <c r="AN41" s="331"/>
      <c r="AO41" s="331"/>
      <c r="AP41" s="331"/>
      <c r="AQ41" s="332"/>
    </row>
    <row r="42" spans="2:43" ht="15.75" outlineLevel="1" x14ac:dyDescent="0.25">
      <c r="B42" s="244" t="s">
        <v>298</v>
      </c>
      <c r="C42" s="276"/>
      <c r="D42" s="77">
        <v>222</v>
      </c>
      <c r="E42" s="77">
        <v>226</v>
      </c>
      <c r="F42" s="77">
        <v>229</v>
      </c>
      <c r="G42" s="77">
        <v>231</v>
      </c>
      <c r="H42" s="105"/>
      <c r="I42" s="77">
        <v>234</v>
      </c>
      <c r="J42" s="77">
        <v>236</v>
      </c>
      <c r="K42" s="77">
        <v>239</v>
      </c>
      <c r="L42" s="77">
        <v>239</v>
      </c>
      <c r="M42" s="37"/>
      <c r="N42" s="77">
        <v>241</v>
      </c>
      <c r="O42" s="77">
        <v>241</v>
      </c>
      <c r="P42" s="77">
        <v>242</v>
      </c>
      <c r="Q42" s="77">
        <v>242</v>
      </c>
      <c r="R42" s="37"/>
      <c r="S42" s="77">
        <f>N42*(1+S43)</f>
        <v>245.59138577945311</v>
      </c>
      <c r="T42" s="77">
        <f t="shared" ref="T42:V42" si="53">O42*(1+T43)</f>
        <v>244.93688179696596</v>
      </c>
      <c r="U42" s="77">
        <f t="shared" si="53"/>
        <v>245.65974209658557</v>
      </c>
      <c r="V42" s="77">
        <f t="shared" si="53"/>
        <v>245.81526339479055</v>
      </c>
      <c r="W42" s="37"/>
      <c r="X42" s="77"/>
      <c r="Y42" s="77"/>
      <c r="Z42" s="77"/>
      <c r="AA42" s="77"/>
      <c r="AB42" s="37"/>
      <c r="AC42" s="77"/>
      <c r="AD42" s="77"/>
      <c r="AE42" s="77"/>
      <c r="AF42" s="77"/>
      <c r="AG42" s="37"/>
      <c r="AH42" s="77"/>
      <c r="AI42" s="77"/>
      <c r="AJ42" s="77"/>
      <c r="AK42" s="77"/>
      <c r="AL42" s="37"/>
      <c r="AM42" s="77"/>
      <c r="AN42" s="77"/>
      <c r="AO42" s="77"/>
      <c r="AP42" s="77"/>
      <c r="AQ42" s="37"/>
    </row>
    <row r="43" spans="2:43" ht="15.75" outlineLevel="1" x14ac:dyDescent="0.25">
      <c r="B43" s="93" t="s">
        <v>200</v>
      </c>
      <c r="C43" s="276"/>
      <c r="D43" s="77"/>
      <c r="E43" s="77"/>
      <c r="F43" s="77"/>
      <c r="G43" s="77"/>
      <c r="H43" s="105"/>
      <c r="I43" s="280">
        <f>+I42/D42-1</f>
        <v>5.4054054054053946E-2</v>
      </c>
      <c r="J43" s="280">
        <f>+J42/E42-1</f>
        <v>4.4247787610619538E-2</v>
      </c>
      <c r="K43" s="280">
        <f>+K42/F42-1</f>
        <v>4.366812227074246E-2</v>
      </c>
      <c r="L43" s="280">
        <f>+L42/G42-1</f>
        <v>3.463203463203457E-2</v>
      </c>
      <c r="M43" s="37"/>
      <c r="N43" s="280">
        <f>+N42/I42-1</f>
        <v>2.9914529914529808E-2</v>
      </c>
      <c r="O43" s="280">
        <f>+O42/J42-1</f>
        <v>2.1186440677966045E-2</v>
      </c>
      <c r="P43" s="280">
        <f>+P42/K42-1</f>
        <v>1.2552301255230214E-2</v>
      </c>
      <c r="Q43" s="280">
        <f>+Q42/L42-1</f>
        <v>1.2552301255230214E-2</v>
      </c>
      <c r="R43" s="37"/>
      <c r="S43" s="121">
        <f>AVERAGE(N43,O43,P43,Q43)</f>
        <v>1.905139327573907E-2</v>
      </c>
      <c r="T43" s="121">
        <f>AVERAGE(O43,P43,Q43,S43)</f>
        <v>1.6335609116041386E-2</v>
      </c>
      <c r="U43" s="121">
        <f>AVERAGE(P43,Q43,S43,T43)</f>
        <v>1.5122901225560221E-2</v>
      </c>
      <c r="V43" s="121">
        <f>AVERAGE(Q43,S43,T43,U43)</f>
        <v>1.5765551218142722E-2</v>
      </c>
      <c r="W43" s="37"/>
      <c r="X43" s="280"/>
      <c r="Y43" s="280"/>
      <c r="Z43" s="280"/>
      <c r="AA43" s="280"/>
      <c r="AB43" s="37"/>
      <c r="AC43" s="280"/>
      <c r="AD43" s="280"/>
      <c r="AE43" s="280"/>
      <c r="AF43" s="280"/>
      <c r="AG43" s="37"/>
      <c r="AH43" s="280"/>
      <c r="AI43" s="280"/>
      <c r="AJ43" s="280"/>
      <c r="AK43" s="280"/>
      <c r="AL43" s="37"/>
      <c r="AM43" s="280"/>
      <c r="AN43" s="280"/>
      <c r="AO43" s="280"/>
      <c r="AP43" s="280"/>
      <c r="AQ43" s="37"/>
    </row>
    <row r="44" spans="2:43" ht="17.25" outlineLevel="1" x14ac:dyDescent="0.4">
      <c r="B44" s="115" t="s">
        <v>300</v>
      </c>
      <c r="C44" s="277"/>
      <c r="D44" s="77">
        <v>333</v>
      </c>
      <c r="E44" s="77">
        <v>338</v>
      </c>
      <c r="F44" s="77">
        <v>342</v>
      </c>
      <c r="G44" s="77">
        <v>349</v>
      </c>
      <c r="H44" s="37"/>
      <c r="I44" s="77">
        <v>354</v>
      </c>
      <c r="J44" s="77">
        <v>360</v>
      </c>
      <c r="K44" s="77">
        <v>364</v>
      </c>
      <c r="L44" s="77">
        <v>370</v>
      </c>
      <c r="M44" s="37"/>
      <c r="N44" s="77">
        <v>377</v>
      </c>
      <c r="O44" s="77">
        <v>376</v>
      </c>
      <c r="P44" s="77">
        <v>375</v>
      </c>
      <c r="Q44" s="77">
        <v>381</v>
      </c>
      <c r="R44" s="37"/>
      <c r="S44" s="77">
        <f>N44*(1+S45)</f>
        <v>392.96271777225161</v>
      </c>
      <c r="T44" s="77">
        <f t="shared" ref="T44" si="54">O44*(1+T45)</f>
        <v>389.79312579948174</v>
      </c>
      <c r="U44" s="77">
        <f t="shared" ref="U44" si="55">P44*(1+U45)</f>
        <v>388.02888577617125</v>
      </c>
      <c r="V44" s="77">
        <f t="shared" ref="V44" si="56">Q44*(1+V45)</f>
        <v>394.66825086980339</v>
      </c>
      <c r="W44" s="34"/>
      <c r="X44" s="77"/>
      <c r="Y44" s="362" t="s">
        <v>302</v>
      </c>
      <c r="Z44" s="363"/>
      <c r="AA44" s="80"/>
      <c r="AB44" s="81"/>
      <c r="AC44" s="80"/>
      <c r="AD44" s="362" t="s">
        <v>302</v>
      </c>
      <c r="AE44" s="363"/>
      <c r="AF44" s="80"/>
      <c r="AG44" s="81"/>
      <c r="AH44" s="80"/>
      <c r="AI44" s="362" t="s">
        <v>302</v>
      </c>
      <c r="AJ44" s="363"/>
      <c r="AK44" s="80"/>
      <c r="AL44" s="81"/>
      <c r="AM44" s="80"/>
      <c r="AN44" s="362" t="s">
        <v>302</v>
      </c>
      <c r="AO44" s="363"/>
      <c r="AP44" s="77"/>
      <c r="AQ44" s="37"/>
    </row>
    <row r="45" spans="2:43" outlineLevel="1" x14ac:dyDescent="0.25">
      <c r="B45" s="93" t="s">
        <v>201</v>
      </c>
      <c r="C45" s="277"/>
      <c r="D45" s="77"/>
      <c r="E45" s="77"/>
      <c r="F45" s="77"/>
      <c r="G45" s="77"/>
      <c r="H45" s="37"/>
      <c r="I45" s="280">
        <f>+I44/D44-1</f>
        <v>6.3063063063063085E-2</v>
      </c>
      <c r="J45" s="280">
        <f>+J44/E44-1</f>
        <v>6.5088757396449815E-2</v>
      </c>
      <c r="K45" s="280">
        <f>+K44/F44-1</f>
        <v>6.4327485380117011E-2</v>
      </c>
      <c r="L45" s="280">
        <f>+L44/G44-1</f>
        <v>6.0171919770773741E-2</v>
      </c>
      <c r="M45" s="37"/>
      <c r="N45" s="280">
        <f>+N44/I44-1</f>
        <v>6.4971751412429279E-2</v>
      </c>
      <c r="O45" s="280">
        <f>+O44/J44-1</f>
        <v>4.4444444444444509E-2</v>
      </c>
      <c r="P45" s="280">
        <f>+P44/K44-1</f>
        <v>3.0219780219780112E-2</v>
      </c>
      <c r="Q45" s="280">
        <f>+Q44/L44-1</f>
        <v>2.9729729729729648E-2</v>
      </c>
      <c r="R45" s="37"/>
      <c r="S45" s="121">
        <f>AVERAGE(N45,O45,P45,Q45)</f>
        <v>4.2341426451595887E-2</v>
      </c>
      <c r="T45" s="121">
        <f>AVERAGE(O45,P45,Q45,S45)</f>
        <v>3.6683845211387539E-2</v>
      </c>
      <c r="U45" s="121">
        <f>AVERAGE(P45,Q45,S45,T45)</f>
        <v>3.4743695403123297E-2</v>
      </c>
      <c r="V45" s="121">
        <f>AVERAGE(Q45,S45,T45,U45)</f>
        <v>3.5874674198959094E-2</v>
      </c>
      <c r="W45" s="34"/>
      <c r="X45" s="280"/>
      <c r="Y45" s="364"/>
      <c r="Z45" s="365"/>
      <c r="AA45" s="85"/>
      <c r="AB45" s="86"/>
      <c r="AC45" s="85"/>
      <c r="AD45" s="364"/>
      <c r="AE45" s="365"/>
      <c r="AF45" s="85"/>
      <c r="AG45" s="86"/>
      <c r="AH45" s="85"/>
      <c r="AI45" s="364"/>
      <c r="AJ45" s="365"/>
      <c r="AK45" s="85"/>
      <c r="AL45" s="86"/>
      <c r="AM45" s="85"/>
      <c r="AN45" s="364"/>
      <c r="AO45" s="365"/>
      <c r="AP45" s="280"/>
      <c r="AQ45" s="37"/>
    </row>
    <row r="46" spans="2:43" ht="17.25" outlineLevel="1" x14ac:dyDescent="0.4">
      <c r="B46" s="115" t="s">
        <v>197</v>
      </c>
      <c r="C46" s="277"/>
      <c r="D46" s="77">
        <v>566</v>
      </c>
      <c r="E46" s="77">
        <v>592</v>
      </c>
      <c r="F46" s="77">
        <v>629</v>
      </c>
      <c r="G46" s="77">
        <v>673.4</v>
      </c>
      <c r="H46" s="61"/>
      <c r="I46" s="77">
        <v>716</v>
      </c>
      <c r="J46" s="77">
        <v>756</v>
      </c>
      <c r="K46" s="77">
        <v>794</v>
      </c>
      <c r="L46" s="77">
        <v>828</v>
      </c>
      <c r="M46" s="61"/>
      <c r="N46" s="77">
        <v>873</v>
      </c>
      <c r="O46" s="77">
        <v>894</v>
      </c>
      <c r="P46" s="77">
        <v>917</v>
      </c>
      <c r="Q46" s="77">
        <v>947</v>
      </c>
      <c r="R46" s="61"/>
      <c r="S46" s="77">
        <f>N46*(1+S47)</f>
        <v>1025.8721367699013</v>
      </c>
      <c r="T46" s="77">
        <f t="shared" ref="T46" si="57">O46*(1+T47)</f>
        <v>1040.6791601772948</v>
      </c>
      <c r="U46" s="77">
        <f t="shared" ref="U46" si="58">P46*(1+U47)</f>
        <v>1063.2187591572231</v>
      </c>
      <c r="V46" s="77">
        <f t="shared" ref="V46" si="59">Q46*(1+V47)</f>
        <v>1099.0775732593361</v>
      </c>
      <c r="W46" s="53"/>
      <c r="X46" s="77"/>
      <c r="Y46" s="364"/>
      <c r="Z46" s="365"/>
      <c r="AA46" s="78"/>
      <c r="AB46" s="96"/>
      <c r="AC46" s="78"/>
      <c r="AD46" s="364"/>
      <c r="AE46" s="365"/>
      <c r="AF46" s="78"/>
      <c r="AG46" s="96"/>
      <c r="AH46" s="78"/>
      <c r="AI46" s="364"/>
      <c r="AJ46" s="365"/>
      <c r="AK46" s="78"/>
      <c r="AL46" s="96"/>
      <c r="AM46" s="78"/>
      <c r="AN46" s="364"/>
      <c r="AO46" s="365"/>
      <c r="AP46" s="77"/>
      <c r="AQ46" s="61"/>
    </row>
    <row r="47" spans="2:43" outlineLevel="1" x14ac:dyDescent="0.25">
      <c r="B47" s="93" t="s">
        <v>202</v>
      </c>
      <c r="C47" s="277"/>
      <c r="D47" s="77"/>
      <c r="E47" s="77"/>
      <c r="F47" s="77"/>
      <c r="G47" s="77"/>
      <c r="H47" s="61"/>
      <c r="I47" s="280">
        <f>+I46/D46-1</f>
        <v>0.26501766784452307</v>
      </c>
      <c r="J47" s="280">
        <f>+J46/E46-1</f>
        <v>0.27702702702702697</v>
      </c>
      <c r="K47" s="280">
        <f>+K46/F46-1</f>
        <v>0.26232114467408585</v>
      </c>
      <c r="L47" s="280">
        <f>+L46/G46-1</f>
        <v>0.22958122958122962</v>
      </c>
      <c r="M47" s="61"/>
      <c r="N47" s="280">
        <f>+N46/I46-1</f>
        <v>0.21927374301675973</v>
      </c>
      <c r="O47" s="280">
        <f>+O46/J46-1</f>
        <v>0.18253968253968256</v>
      </c>
      <c r="P47" s="280">
        <f>+P46/K46-1</f>
        <v>0.15491183879093207</v>
      </c>
      <c r="Q47" s="280">
        <f>+Q46/L46-1</f>
        <v>0.143719806763285</v>
      </c>
      <c r="R47" s="61"/>
      <c r="S47" s="121">
        <f>AVERAGE(N47,O47,P47,Q47)</f>
        <v>0.17511126777766484</v>
      </c>
      <c r="T47" s="121">
        <f>AVERAGE(O47,P47,Q47,S47)</f>
        <v>0.16407064896789111</v>
      </c>
      <c r="U47" s="121">
        <f>AVERAGE(P47,Q47,S47,T47)</f>
        <v>0.15945339057494326</v>
      </c>
      <c r="V47" s="121">
        <f>AVERAGE(Q47,S47,T47,U47)</f>
        <v>0.16058877852094605</v>
      </c>
      <c r="W47" s="53"/>
      <c r="X47" s="280"/>
      <c r="Y47" s="366"/>
      <c r="Z47" s="367"/>
      <c r="AA47" s="85"/>
      <c r="AB47" s="86"/>
      <c r="AC47" s="85"/>
      <c r="AD47" s="366"/>
      <c r="AE47" s="367"/>
      <c r="AF47" s="85"/>
      <c r="AG47" s="86"/>
      <c r="AH47" s="85"/>
      <c r="AI47" s="366"/>
      <c r="AJ47" s="367"/>
      <c r="AK47" s="85"/>
      <c r="AL47" s="86"/>
      <c r="AM47" s="85"/>
      <c r="AN47" s="366"/>
      <c r="AO47" s="367"/>
      <c r="AP47" s="280"/>
      <c r="AQ47" s="61"/>
    </row>
    <row r="48" spans="2:43" outlineLevel="1" x14ac:dyDescent="0.25">
      <c r="B48" s="115" t="s">
        <v>198</v>
      </c>
      <c r="C48" s="277"/>
      <c r="D48" s="77">
        <v>533</v>
      </c>
      <c r="E48" s="77">
        <v>556</v>
      </c>
      <c r="F48" s="77">
        <v>587</v>
      </c>
      <c r="G48" s="77">
        <v>606.4</v>
      </c>
      <c r="H48" s="37"/>
      <c r="I48" s="77">
        <v>632</v>
      </c>
      <c r="J48" s="77">
        <v>654</v>
      </c>
      <c r="K48" s="77">
        <v>675</v>
      </c>
      <c r="L48" s="77">
        <v>692</v>
      </c>
      <c r="M48" s="37"/>
      <c r="N48" s="77">
        <v>705</v>
      </c>
      <c r="O48" s="77">
        <v>723</v>
      </c>
      <c r="P48" s="77">
        <v>736</v>
      </c>
      <c r="Q48" s="77">
        <v>750</v>
      </c>
      <c r="R48" s="37"/>
      <c r="S48" s="77">
        <f>N48*(1+S49)</f>
        <v>774.65335061427606</v>
      </c>
      <c r="T48" s="77">
        <f t="shared" ref="T48" si="60">O48*(1+T49)</f>
        <v>791.41189855542689</v>
      </c>
      <c r="U48" s="77">
        <f t="shared" ref="U48" si="61">P48*(1+U49)</f>
        <v>803.63964098542294</v>
      </c>
      <c r="V48" s="77">
        <f t="shared" ref="V48" si="62">Q48*(1+V49)</f>
        <v>819.21338629446029</v>
      </c>
      <c r="W48" s="34"/>
      <c r="X48" s="77"/>
      <c r="Y48" s="77"/>
      <c r="Z48" s="77"/>
      <c r="AA48" s="77"/>
      <c r="AB48" s="37"/>
      <c r="AC48" s="77"/>
      <c r="AD48" s="77"/>
      <c r="AE48" s="77"/>
      <c r="AF48" s="77"/>
      <c r="AG48" s="37"/>
      <c r="AH48" s="77"/>
      <c r="AI48" s="77"/>
      <c r="AJ48" s="77"/>
      <c r="AK48" s="77"/>
      <c r="AL48" s="37"/>
      <c r="AM48" s="77"/>
      <c r="AN48" s="77"/>
      <c r="AO48" s="77"/>
      <c r="AP48" s="77"/>
      <c r="AQ48" s="37"/>
    </row>
    <row r="49" spans="2:43" outlineLevel="1" x14ac:dyDescent="0.25">
      <c r="B49" s="93" t="s">
        <v>203</v>
      </c>
      <c r="C49" s="277"/>
      <c r="D49" s="77"/>
      <c r="E49" s="77"/>
      <c r="F49" s="77"/>
      <c r="G49" s="77"/>
      <c r="H49" s="37"/>
      <c r="I49" s="280">
        <f>+I48/D48-1</f>
        <v>0.18574108818011248</v>
      </c>
      <c r="J49" s="280">
        <f>+J48/E48-1</f>
        <v>0.17625899280575541</v>
      </c>
      <c r="K49" s="280">
        <f>+K48/F48-1</f>
        <v>0.14991482112436105</v>
      </c>
      <c r="L49" s="280">
        <f>+L48/G48-1</f>
        <v>0.14116094986807393</v>
      </c>
      <c r="M49" s="37"/>
      <c r="N49" s="280">
        <f>+N48/I48-1</f>
        <v>0.115506329113924</v>
      </c>
      <c r="O49" s="280">
        <f>+O48/J48-1</f>
        <v>0.10550458715596323</v>
      </c>
      <c r="P49" s="280">
        <f>+P48/K48-1</f>
        <v>9.0370370370370434E-2</v>
      </c>
      <c r="Q49" s="280">
        <f>+Q48/L48-1</f>
        <v>8.381502890173409E-2</v>
      </c>
      <c r="R49" s="37"/>
      <c r="S49" s="121">
        <f>AVERAGE(N49,O49,P49,Q49)</f>
        <v>9.8799078885497937E-2</v>
      </c>
      <c r="T49" s="121">
        <f>AVERAGE(O49,P49,Q49,S49)</f>
        <v>9.4622266328391422E-2</v>
      </c>
      <c r="U49" s="121">
        <f>AVERAGE(P49,Q49,S49,T49)</f>
        <v>9.1901686121498474E-2</v>
      </c>
      <c r="V49" s="121">
        <f>AVERAGE(Q49,S49,T49,U49)</f>
        <v>9.2284515059280481E-2</v>
      </c>
      <c r="W49" s="34"/>
      <c r="X49" s="280"/>
      <c r="Y49" s="280"/>
      <c r="Z49" s="280"/>
      <c r="AA49" s="280"/>
      <c r="AB49" s="37"/>
      <c r="AC49" s="280"/>
      <c r="AD49" s="280"/>
      <c r="AE49" s="280"/>
      <c r="AF49" s="280"/>
      <c r="AG49" s="37"/>
      <c r="AH49" s="280"/>
      <c r="AI49" s="280"/>
      <c r="AJ49" s="280"/>
      <c r="AK49" s="280"/>
      <c r="AL49" s="37"/>
      <c r="AM49" s="280"/>
      <c r="AN49" s="280"/>
      <c r="AO49" s="280"/>
      <c r="AP49" s="280"/>
      <c r="AQ49" s="37"/>
    </row>
    <row r="50" spans="2:43" s="38" customFormat="1" outlineLevel="1" x14ac:dyDescent="0.25">
      <c r="B50" s="246" t="s">
        <v>199</v>
      </c>
      <c r="C50" s="79"/>
      <c r="D50" s="85">
        <f>+D42+D44+D46+D48</f>
        <v>1654</v>
      </c>
      <c r="E50" s="85">
        <f t="shared" ref="E50:G50" si="63">+E42+E44+E46+E48</f>
        <v>1712</v>
      </c>
      <c r="F50" s="85">
        <f t="shared" si="63"/>
        <v>1787</v>
      </c>
      <c r="G50" s="85">
        <f t="shared" si="63"/>
        <v>1859.8000000000002</v>
      </c>
      <c r="H50" s="278"/>
      <c r="I50" s="85">
        <f>+I42+I44+I46+I48</f>
        <v>1936</v>
      </c>
      <c r="J50" s="85">
        <f t="shared" ref="J50:L50" si="64">+J42+J44+J46+J48</f>
        <v>2006</v>
      </c>
      <c r="K50" s="85">
        <f t="shared" si="64"/>
        <v>2072</v>
      </c>
      <c r="L50" s="85">
        <f t="shared" si="64"/>
        <v>2129</v>
      </c>
      <c r="M50" s="278"/>
      <c r="N50" s="85">
        <f>+N42+N44+N46+N48</f>
        <v>2196</v>
      </c>
      <c r="O50" s="85">
        <f t="shared" ref="O50:Q50" si="65">+O42+O44+O46+O48</f>
        <v>2234</v>
      </c>
      <c r="P50" s="85">
        <f t="shared" si="65"/>
        <v>2270</v>
      </c>
      <c r="Q50" s="85">
        <f t="shared" si="65"/>
        <v>2320</v>
      </c>
      <c r="R50" s="278"/>
      <c r="S50" s="85">
        <f>+S42+S44+S46+S48</f>
        <v>2439.0795909358822</v>
      </c>
      <c r="T50" s="85">
        <f t="shared" ref="T50:V50" si="66">+T42+T44+T46+T48</f>
        <v>2466.8210663291693</v>
      </c>
      <c r="U50" s="85">
        <f t="shared" si="66"/>
        <v>2500.5470280154027</v>
      </c>
      <c r="V50" s="85">
        <f t="shared" si="66"/>
        <v>2558.7744738183901</v>
      </c>
      <c r="W50" s="279"/>
      <c r="X50" s="85"/>
      <c r="Y50" s="85"/>
      <c r="Z50" s="85"/>
      <c r="AA50" s="85"/>
      <c r="AB50" s="278"/>
      <c r="AC50" s="85"/>
      <c r="AD50" s="85"/>
      <c r="AE50" s="85"/>
      <c r="AF50" s="85"/>
      <c r="AG50" s="278"/>
      <c r="AH50" s="85"/>
      <c r="AI50" s="85"/>
      <c r="AJ50" s="85"/>
      <c r="AK50" s="85"/>
      <c r="AL50" s="278"/>
      <c r="AM50" s="85"/>
      <c r="AN50" s="85"/>
      <c r="AO50" s="85"/>
      <c r="AP50" s="85"/>
      <c r="AQ50" s="278"/>
    </row>
    <row r="51" spans="2:43" ht="18" x14ac:dyDescent="0.4">
      <c r="B51" s="374" t="s">
        <v>205</v>
      </c>
      <c r="C51" s="375"/>
      <c r="D51" s="68" t="s">
        <v>156</v>
      </c>
      <c r="E51" s="68" t="s">
        <v>157</v>
      </c>
      <c r="F51" s="68" t="s">
        <v>158</v>
      </c>
      <c r="G51" s="68" t="s">
        <v>159</v>
      </c>
      <c r="H51" s="177" t="s">
        <v>160</v>
      </c>
      <c r="I51" s="68" t="s">
        <v>147</v>
      </c>
      <c r="J51" s="68" t="s">
        <v>148</v>
      </c>
      <c r="K51" s="68" t="s">
        <v>149</v>
      </c>
      <c r="L51" s="68" t="s">
        <v>150</v>
      </c>
      <c r="M51" s="177" t="s">
        <v>151</v>
      </c>
      <c r="N51" s="68" t="s">
        <v>138</v>
      </c>
      <c r="O51" s="68" t="s">
        <v>137</v>
      </c>
      <c r="P51" s="68" t="s">
        <v>136</v>
      </c>
      <c r="Q51" s="68" t="s">
        <v>135</v>
      </c>
      <c r="R51" s="177" t="s">
        <v>134</v>
      </c>
      <c r="S51" s="66" t="s">
        <v>273</v>
      </c>
      <c r="T51" s="66" t="s">
        <v>274</v>
      </c>
      <c r="U51" s="66" t="s">
        <v>275</v>
      </c>
      <c r="V51" s="66" t="s">
        <v>276</v>
      </c>
      <c r="W51" s="181" t="s">
        <v>277</v>
      </c>
      <c r="X51" s="331"/>
      <c r="Y51" s="331"/>
      <c r="Z51" s="331"/>
      <c r="AA51" s="331"/>
      <c r="AB51" s="332"/>
      <c r="AC51" s="331"/>
      <c r="AD51" s="331"/>
      <c r="AE51" s="331"/>
      <c r="AF51" s="331"/>
      <c r="AG51" s="332"/>
      <c r="AH51" s="331"/>
      <c r="AI51" s="331"/>
      <c r="AJ51" s="331"/>
      <c r="AK51" s="331"/>
      <c r="AL51" s="332"/>
      <c r="AM51" s="331"/>
      <c r="AN51" s="331"/>
      <c r="AO51" s="331"/>
      <c r="AP51" s="331"/>
      <c r="AQ51" s="332"/>
    </row>
    <row r="52" spans="2:43" ht="15.75" outlineLevel="1" x14ac:dyDescent="0.25">
      <c r="B52" s="247" t="s">
        <v>299</v>
      </c>
      <c r="C52" s="102"/>
      <c r="D52" s="91">
        <v>12.426303854875284</v>
      </c>
      <c r="E52" s="91">
        <v>14.339285714285714</v>
      </c>
      <c r="F52" s="91">
        <v>15.648351648351648</v>
      </c>
      <c r="G52" s="91">
        <v>19.808695652173913</v>
      </c>
      <c r="H52" s="37"/>
      <c r="I52" s="91">
        <v>17.07</v>
      </c>
      <c r="J52" s="91">
        <v>19.38</v>
      </c>
      <c r="K52" s="91">
        <v>21.2</v>
      </c>
      <c r="L52" s="91">
        <v>26.76</v>
      </c>
      <c r="M52" s="37"/>
      <c r="N52" s="91">
        <v>23.59</v>
      </c>
      <c r="O52" s="91">
        <v>25.91</v>
      </c>
      <c r="P52" s="91">
        <v>27.61</v>
      </c>
      <c r="Q52" s="91">
        <v>34.86</v>
      </c>
      <c r="R52" s="37"/>
      <c r="S52" s="91">
        <f>N52*(1+S53)</f>
        <v>27.983802689002296</v>
      </c>
      <c r="T52" s="91">
        <f t="shared" ref="T52" si="67">O52*(1+T53)</f>
        <v>30.668736654229043</v>
      </c>
      <c r="U52" s="91">
        <f t="shared" ref="U52" si="68">P52*(1+U53)</f>
        <v>34.325193056106833</v>
      </c>
      <c r="V52" s="91">
        <f t="shared" ref="V52" si="69">Q52*(1+V53)</f>
        <v>42.962717047037962</v>
      </c>
      <c r="W52" s="37"/>
      <c r="X52" s="91"/>
      <c r="Y52" s="91"/>
      <c r="Z52" s="91"/>
      <c r="AA52" s="91"/>
      <c r="AB52" s="37"/>
      <c r="AC52" s="91"/>
      <c r="AD52" s="91"/>
      <c r="AE52" s="91"/>
      <c r="AF52" s="91"/>
      <c r="AG52" s="37"/>
      <c r="AH52" s="91"/>
      <c r="AI52" s="91"/>
      <c r="AJ52" s="91"/>
      <c r="AK52" s="91"/>
      <c r="AL52" s="37"/>
      <c r="AM52" s="91"/>
      <c r="AN52" s="91"/>
      <c r="AO52" s="91"/>
      <c r="AP52" s="91"/>
      <c r="AQ52" s="37"/>
    </row>
    <row r="53" spans="2:43" ht="15.75" outlineLevel="1" x14ac:dyDescent="0.25">
      <c r="B53" s="147" t="s">
        <v>206</v>
      </c>
      <c r="C53" s="102"/>
      <c r="D53" s="91"/>
      <c r="E53" s="91"/>
      <c r="F53" s="91"/>
      <c r="G53" s="91"/>
      <c r="H53" s="37"/>
      <c r="I53" s="280">
        <f>+I52/D52-1</f>
        <v>0.373698905109489</v>
      </c>
      <c r="J53" s="280">
        <f t="shared" ref="J53:L53" si="70">+J52/E52-1</f>
        <v>0.35153175591531749</v>
      </c>
      <c r="K53" s="280">
        <f t="shared" si="70"/>
        <v>0.35477528089887644</v>
      </c>
      <c r="L53" s="280">
        <f t="shared" si="70"/>
        <v>0.35092186128182612</v>
      </c>
      <c r="M53" s="37"/>
      <c r="N53" s="280">
        <f>+N52/I52-1</f>
        <v>0.38195664909197413</v>
      </c>
      <c r="O53" s="280">
        <f t="shared" ref="O53" si="71">+O52/J52-1</f>
        <v>0.33694530443756454</v>
      </c>
      <c r="P53" s="280">
        <f t="shared" ref="P53" si="72">+P52/K52-1</f>
        <v>0.3023584905660377</v>
      </c>
      <c r="Q53" s="280">
        <f t="shared" ref="Q53" si="73">+Q52/L52-1</f>
        <v>0.30269058295964113</v>
      </c>
      <c r="R53" s="37"/>
      <c r="S53" s="121">
        <f>+N53*0.5-0.472132204482991%</f>
        <v>0.18625700250115715</v>
      </c>
      <c r="T53" s="121">
        <f>+O53*0.5+1.51914409587183%</f>
        <v>0.18366409317750057</v>
      </c>
      <c r="U53" s="121">
        <f>+P53*0.5+9.20367292228426%</f>
        <v>0.24321597450586147</v>
      </c>
      <c r="V53" s="121">
        <f>+Q53*0.5+8.1090653644619%</f>
        <v>0.23243594512443955</v>
      </c>
      <c r="W53" s="37"/>
      <c r="X53" s="280"/>
      <c r="Y53" s="280"/>
      <c r="Z53" s="280"/>
      <c r="AA53" s="280"/>
      <c r="AB53" s="37"/>
      <c r="AC53" s="280"/>
      <c r="AD53" s="280"/>
      <c r="AE53" s="280"/>
      <c r="AF53" s="280"/>
      <c r="AG53" s="37"/>
      <c r="AH53" s="280"/>
      <c r="AI53" s="280"/>
      <c r="AJ53" s="280"/>
      <c r="AK53" s="280"/>
      <c r="AL53" s="37"/>
      <c r="AM53" s="280"/>
      <c r="AN53" s="280"/>
      <c r="AO53" s="280"/>
      <c r="AP53" s="280"/>
      <c r="AQ53" s="37"/>
    </row>
    <row r="54" spans="2:43" outlineLevel="1" x14ac:dyDescent="0.25">
      <c r="B54" s="247" t="s">
        <v>301</v>
      </c>
      <c r="C54" s="144"/>
      <c r="D54" s="91">
        <v>3.9847560975609757</v>
      </c>
      <c r="E54" s="91">
        <v>4.7242921013412813</v>
      </c>
      <c r="F54" s="91">
        <v>4.7205882352941178</v>
      </c>
      <c r="G54" s="91">
        <v>5.9768451519536905</v>
      </c>
      <c r="H54" s="37"/>
      <c r="I54" s="91">
        <v>5.42</v>
      </c>
      <c r="J54" s="91">
        <v>6.28</v>
      </c>
      <c r="K54" s="91">
        <v>6.85</v>
      </c>
      <c r="L54" s="91">
        <v>8.86</v>
      </c>
      <c r="M54" s="37"/>
      <c r="N54" s="91">
        <v>8.1199999999999992</v>
      </c>
      <c r="O54" s="91">
        <v>8.76</v>
      </c>
      <c r="P54" s="91">
        <v>8.82</v>
      </c>
      <c r="Q54" s="91">
        <v>10.98</v>
      </c>
      <c r="R54" s="37"/>
      <c r="S54" s="91">
        <f>N54*(1+S55)</f>
        <v>10.142509225092249</v>
      </c>
      <c r="T54" s="91">
        <f t="shared" ref="T54" si="74">O54*(1+T55)</f>
        <v>10.48968152866242</v>
      </c>
      <c r="U54" s="91">
        <f t="shared" ref="U54" si="75">P54*(1+U55)</f>
        <v>10.088277372262775</v>
      </c>
      <c r="V54" s="91">
        <f t="shared" ref="V54" si="76">Q54*(1+V55)</f>
        <v>12.293634311512418</v>
      </c>
      <c r="W54" s="37"/>
      <c r="X54" s="91"/>
      <c r="Y54" s="91"/>
      <c r="Z54" s="91"/>
      <c r="AA54" s="91"/>
      <c r="AB54" s="37"/>
      <c r="AC54" s="91"/>
      <c r="AD54" s="91"/>
      <c r="AE54" s="91"/>
      <c r="AF54" s="91"/>
      <c r="AG54" s="37"/>
      <c r="AH54" s="91"/>
      <c r="AI54" s="91"/>
      <c r="AJ54" s="91"/>
      <c r="AK54" s="91"/>
      <c r="AL54" s="37"/>
      <c r="AM54" s="91"/>
      <c r="AN54" s="91"/>
      <c r="AO54" s="91"/>
      <c r="AP54" s="91"/>
      <c r="AQ54" s="37"/>
    </row>
    <row r="55" spans="2:43" outlineLevel="1" x14ac:dyDescent="0.25">
      <c r="B55" s="147" t="s">
        <v>207</v>
      </c>
      <c r="C55" s="257"/>
      <c r="D55" s="91"/>
      <c r="E55" s="91"/>
      <c r="F55" s="91"/>
      <c r="G55" s="91"/>
      <c r="H55" s="37"/>
      <c r="I55" s="280">
        <f>+I54/D54-1</f>
        <v>0.36018362662586068</v>
      </c>
      <c r="J55" s="280">
        <f t="shared" ref="J55" si="77">+J54/E54-1</f>
        <v>0.32929968454258685</v>
      </c>
      <c r="K55" s="280">
        <f t="shared" ref="K55" si="78">+K54/F54-1</f>
        <v>0.45109034267912751</v>
      </c>
      <c r="L55" s="280">
        <f t="shared" ref="L55" si="79">+L54/G54-1</f>
        <v>0.48238740920096834</v>
      </c>
      <c r="M55" s="37"/>
      <c r="N55" s="280">
        <f>+N54/I54-1</f>
        <v>0.49815498154981541</v>
      </c>
      <c r="O55" s="280">
        <f t="shared" ref="O55" si="80">+O54/J54-1</f>
        <v>0.39490445859872603</v>
      </c>
      <c r="P55" s="280">
        <f t="shared" ref="P55" si="81">+P54/K54-1</f>
        <v>0.28759124087591248</v>
      </c>
      <c r="Q55" s="280">
        <f t="shared" ref="Q55" si="82">+Q54/L54-1</f>
        <v>0.23927765237020338</v>
      </c>
      <c r="R55" s="37"/>
      <c r="S55" s="121">
        <f>+N55*0.5</f>
        <v>0.24907749077490771</v>
      </c>
      <c r="T55" s="121">
        <f t="shared" ref="T55" si="83">+O55*0.5</f>
        <v>0.19745222929936301</v>
      </c>
      <c r="U55" s="121">
        <f t="shared" ref="U55" si="84">+P55*0.5</f>
        <v>0.14379562043795624</v>
      </c>
      <c r="V55" s="121">
        <f t="shared" ref="V55" si="85">+Q55*0.5</f>
        <v>0.11963882618510169</v>
      </c>
      <c r="W55" s="37"/>
      <c r="X55" s="280"/>
      <c r="Y55" s="280"/>
      <c r="Z55" s="280"/>
      <c r="AA55" s="280"/>
      <c r="AB55" s="37"/>
      <c r="AC55" s="280"/>
      <c r="AD55" s="280"/>
      <c r="AE55" s="280"/>
      <c r="AF55" s="280"/>
      <c r="AG55" s="37"/>
      <c r="AH55" s="280"/>
      <c r="AI55" s="280"/>
      <c r="AJ55" s="280"/>
      <c r="AK55" s="280"/>
      <c r="AL55" s="37"/>
      <c r="AM55" s="280"/>
      <c r="AN55" s="280"/>
      <c r="AO55" s="280"/>
      <c r="AP55" s="280"/>
      <c r="AQ55" s="37"/>
    </row>
    <row r="56" spans="2:43" outlineLevel="1" x14ac:dyDescent="0.25">
      <c r="B56" s="247" t="s">
        <v>208</v>
      </c>
      <c r="C56" s="144"/>
      <c r="D56" s="91">
        <v>1.5587703435804701</v>
      </c>
      <c r="E56" s="91">
        <v>1.770293609671848</v>
      </c>
      <c r="F56" s="91">
        <v>1.8902538902538903</v>
      </c>
      <c r="G56" s="91">
        <v>2.0715601965601964</v>
      </c>
      <c r="H56" s="37"/>
      <c r="I56" s="91">
        <v>1.98</v>
      </c>
      <c r="J56" s="91">
        <v>2.13</v>
      </c>
      <c r="K56" s="91">
        <v>2.27</v>
      </c>
      <c r="L56" s="91">
        <v>2.54</v>
      </c>
      <c r="M56" s="37"/>
      <c r="N56" s="91">
        <v>2.46</v>
      </c>
      <c r="O56" s="91">
        <v>2.62</v>
      </c>
      <c r="P56" s="91">
        <v>2.67</v>
      </c>
      <c r="Q56" s="91">
        <v>2.96</v>
      </c>
      <c r="R56" s="37"/>
      <c r="S56" s="91">
        <f>N56*(1+S57)</f>
        <v>2.7581818181818178</v>
      </c>
      <c r="T56" s="91">
        <f t="shared" ref="T56" si="86">O56*(1+T57)</f>
        <v>2.9213615023474184</v>
      </c>
      <c r="U56" s="91">
        <f t="shared" ref="U56" si="87">P56*(1+U57)</f>
        <v>2.9052422907488986</v>
      </c>
      <c r="V56" s="91">
        <f t="shared" ref="V56" si="88">Q56*(1+V57)</f>
        <v>3.2047244094488185</v>
      </c>
      <c r="W56" s="37"/>
      <c r="X56" s="91"/>
      <c r="Y56" s="91"/>
      <c r="Z56" s="91"/>
      <c r="AA56" s="91"/>
      <c r="AB56" s="37"/>
      <c r="AC56" s="91"/>
      <c r="AD56" s="91"/>
      <c r="AE56" s="91"/>
      <c r="AF56" s="91"/>
      <c r="AG56" s="37"/>
      <c r="AH56" s="91"/>
      <c r="AI56" s="91"/>
      <c r="AJ56" s="91"/>
      <c r="AK56" s="91"/>
      <c r="AL56" s="37"/>
      <c r="AM56" s="91"/>
      <c r="AN56" s="91"/>
      <c r="AO56" s="91"/>
      <c r="AP56" s="91"/>
      <c r="AQ56" s="37"/>
    </row>
    <row r="57" spans="2:43" outlineLevel="1" x14ac:dyDescent="0.25">
      <c r="B57" s="147" t="s">
        <v>208</v>
      </c>
      <c r="C57" s="257"/>
      <c r="D57" s="91"/>
      <c r="E57" s="91"/>
      <c r="F57" s="91"/>
      <c r="G57" s="91"/>
      <c r="H57" s="37"/>
      <c r="I57" s="280">
        <f>+I56/D56-1</f>
        <v>0.27023201856148504</v>
      </c>
      <c r="J57" s="280">
        <f t="shared" ref="J57" si="89">+J56/E56-1</f>
        <v>0.20319024390243889</v>
      </c>
      <c r="K57" s="280">
        <f t="shared" ref="K57" si="90">+K56/F56-1</f>
        <v>0.20089688041594456</v>
      </c>
      <c r="L57" s="280">
        <f t="shared" ref="L57" si="91">+L56/G56-1</f>
        <v>0.22612898443291329</v>
      </c>
      <c r="M57" s="37"/>
      <c r="N57" s="280">
        <f>+N56/I56-1</f>
        <v>0.24242424242424243</v>
      </c>
      <c r="O57" s="280">
        <f t="shared" ref="O57" si="92">+O56/J56-1</f>
        <v>0.23004694835680772</v>
      </c>
      <c r="P57" s="280">
        <f t="shared" ref="P57" si="93">+P56/K56-1</f>
        <v>0.17621145374449343</v>
      </c>
      <c r="Q57" s="280">
        <f t="shared" ref="Q57" si="94">+Q56/L56-1</f>
        <v>0.16535433070866135</v>
      </c>
      <c r="R57" s="37"/>
      <c r="S57" s="121">
        <f>+N57*0.5</f>
        <v>0.12121212121212122</v>
      </c>
      <c r="T57" s="121">
        <f t="shared" ref="T57" si="95">+O57*0.5</f>
        <v>0.11502347417840386</v>
      </c>
      <c r="U57" s="121">
        <f t="shared" ref="U57" si="96">+P57*0.5</f>
        <v>8.8105726872246715E-2</v>
      </c>
      <c r="V57" s="121">
        <f t="shared" ref="V57" si="97">+Q57*0.5</f>
        <v>8.2677165354330673E-2</v>
      </c>
      <c r="W57" s="37"/>
      <c r="X57" s="280"/>
      <c r="Y57" s="280"/>
      <c r="Z57" s="280"/>
      <c r="AA57" s="280"/>
      <c r="AB57" s="37"/>
      <c r="AC57" s="280"/>
      <c r="AD57" s="280"/>
      <c r="AE57" s="280"/>
      <c r="AF57" s="280"/>
      <c r="AG57" s="37"/>
      <c r="AH57" s="280"/>
      <c r="AI57" s="280"/>
      <c r="AJ57" s="280"/>
      <c r="AK57" s="280"/>
      <c r="AL57" s="37"/>
      <c r="AM57" s="280"/>
      <c r="AN57" s="280"/>
      <c r="AO57" s="280"/>
      <c r="AP57" s="280"/>
      <c r="AQ57" s="37"/>
    </row>
    <row r="58" spans="2:43" outlineLevel="1" x14ac:dyDescent="0.25">
      <c r="B58" s="247" t="s">
        <v>209</v>
      </c>
      <c r="C58" s="144"/>
      <c r="D58" s="91">
        <v>0.90786948176583493</v>
      </c>
      <c r="E58" s="91">
        <v>1.1276400367309458</v>
      </c>
      <c r="F58" s="91">
        <v>1.2108486439195101</v>
      </c>
      <c r="G58" s="91">
        <v>1.4060667001843472</v>
      </c>
      <c r="H58" s="37"/>
      <c r="I58" s="91">
        <v>1.27</v>
      </c>
      <c r="J58" s="91">
        <v>1.48</v>
      </c>
      <c r="K58" s="91">
        <v>1.59</v>
      </c>
      <c r="L58" s="91">
        <v>1.86</v>
      </c>
      <c r="M58" s="37"/>
      <c r="N58" s="91">
        <v>1.68</v>
      </c>
      <c r="O58" s="91">
        <v>1.91</v>
      </c>
      <c r="P58" s="91">
        <v>1.82</v>
      </c>
      <c r="Q58" s="91">
        <v>2.11</v>
      </c>
      <c r="R58" s="37"/>
      <c r="S58" s="91">
        <f>N58*(1+S59)</f>
        <v>1.9511811023622045</v>
      </c>
      <c r="T58" s="91">
        <f t="shared" ref="T58" si="98">O58*(1+T59)</f>
        <v>2.1874662162162157</v>
      </c>
      <c r="U58" s="91">
        <f t="shared" ref="U58" si="99">P58*(1+U59)</f>
        <v>1.9516352201257865</v>
      </c>
      <c r="V58" s="91">
        <f t="shared" ref="V58" si="100">Q58*(1+V59)</f>
        <v>2.2518010752688169</v>
      </c>
      <c r="W58" s="37"/>
      <c r="X58" s="91"/>
      <c r="Y58" s="91"/>
      <c r="Z58" s="91"/>
      <c r="AA58" s="91"/>
      <c r="AB58" s="37"/>
      <c r="AC58" s="91"/>
      <c r="AD58" s="91"/>
      <c r="AE58" s="91"/>
      <c r="AF58" s="91"/>
      <c r="AG58" s="37"/>
      <c r="AH58" s="91"/>
      <c r="AI58" s="91"/>
      <c r="AJ58" s="91"/>
      <c r="AK58" s="91"/>
      <c r="AL58" s="37"/>
      <c r="AM58" s="91"/>
      <c r="AN58" s="91"/>
      <c r="AO58" s="91"/>
      <c r="AP58" s="91"/>
      <c r="AQ58" s="37"/>
    </row>
    <row r="59" spans="2:43" ht="17.25" outlineLevel="1" x14ac:dyDescent="0.4">
      <c r="B59" s="147" t="s">
        <v>209</v>
      </c>
      <c r="C59" s="257"/>
      <c r="D59" s="281"/>
      <c r="E59" s="281"/>
      <c r="F59" s="281"/>
      <c r="G59" s="281"/>
      <c r="H59" s="282"/>
      <c r="I59" s="280">
        <f>+I58/D58-1</f>
        <v>0.39887949260042288</v>
      </c>
      <c r="J59" s="280">
        <f t="shared" ref="J59" si="101">+J58/E58-1</f>
        <v>0.3124755700325732</v>
      </c>
      <c r="K59" s="280">
        <f t="shared" ref="K59" si="102">+K58/F58-1</f>
        <v>0.31312861271676296</v>
      </c>
      <c r="L59" s="280">
        <f t="shared" ref="L59" si="103">+L58/G58-1</f>
        <v>0.32283909415971412</v>
      </c>
      <c r="M59" s="282"/>
      <c r="N59" s="280">
        <f>+N58/I58-1</f>
        <v>0.32283464566929121</v>
      </c>
      <c r="O59" s="280">
        <f t="shared" ref="O59" si="104">+O58/J58-1</f>
        <v>0.29054054054054057</v>
      </c>
      <c r="P59" s="280">
        <f t="shared" ref="P59" si="105">+P58/K58-1</f>
        <v>0.14465408805031443</v>
      </c>
      <c r="Q59" s="280">
        <f t="shared" ref="Q59" si="106">+Q58/L58-1</f>
        <v>0.13440860215053752</v>
      </c>
      <c r="R59" s="282"/>
      <c r="S59" s="121">
        <f>+N59*0.5</f>
        <v>0.1614173228346456</v>
      </c>
      <c r="T59" s="121">
        <f t="shared" ref="T59" si="107">+O59*0.5</f>
        <v>0.14527027027027029</v>
      </c>
      <c r="U59" s="121">
        <f>+P59*0.5</f>
        <v>7.2327044025157217E-2</v>
      </c>
      <c r="V59" s="121">
        <f>+Q59*0.5</f>
        <v>6.7204301075268758E-2</v>
      </c>
      <c r="W59" s="282"/>
      <c r="X59" s="280"/>
      <c r="Y59" s="280"/>
      <c r="Z59" s="280"/>
      <c r="AA59" s="280"/>
      <c r="AB59" s="282"/>
      <c r="AC59" s="280"/>
      <c r="AD59" s="280"/>
      <c r="AE59" s="280"/>
      <c r="AF59" s="280"/>
      <c r="AG59" s="282"/>
      <c r="AH59" s="280"/>
      <c r="AI59" s="280"/>
      <c r="AJ59" s="280"/>
      <c r="AK59" s="280"/>
      <c r="AL59" s="282"/>
      <c r="AM59" s="280"/>
      <c r="AN59" s="280"/>
      <c r="AO59" s="280"/>
      <c r="AP59" s="280"/>
      <c r="AQ59" s="282"/>
    </row>
    <row r="60" spans="2:43" outlineLevel="1" x14ac:dyDescent="0.25">
      <c r="B60" s="157" t="s">
        <v>210</v>
      </c>
      <c r="C60" s="144"/>
      <c r="D60" s="89"/>
      <c r="E60" s="89">
        <f>+E40/((D50+E50)/2)</f>
        <v>3.8241235888294711</v>
      </c>
      <c r="F60" s="89">
        <f t="shared" ref="F60:G60" si="108">+F40/((E50+F50)/2)</f>
        <v>4.007430694484138</v>
      </c>
      <c r="G60" s="89">
        <f t="shared" si="108"/>
        <v>4.831084786662279</v>
      </c>
      <c r="H60" s="37"/>
      <c r="I60" s="89">
        <f>+I40/((G50+I50)/2)</f>
        <v>4.2320459455187311</v>
      </c>
      <c r="J60" s="89">
        <f>+J40/((I50+J50)/2)</f>
        <v>4.7290715372907153</v>
      </c>
      <c r="K60" s="89">
        <f t="shared" ref="K60:L60" si="109">+K40/((J50+K50)/2)</f>
        <v>5.0652280529671412</v>
      </c>
      <c r="L60" s="89">
        <f t="shared" si="109"/>
        <v>6.1756724589383483</v>
      </c>
      <c r="M60" s="37"/>
      <c r="N60" s="89">
        <f>+N40/((L50+N50)/2)</f>
        <v>5.5334104046242771</v>
      </c>
      <c r="O60" s="89">
        <f>+O40/((N50+O50)/2)</f>
        <v>5.9733634311512418</v>
      </c>
      <c r="P60" s="89">
        <f t="shared" ref="P60:Q60" si="110">+P40/((O50+P50)/2)</f>
        <v>6.0954706927175843</v>
      </c>
      <c r="Q60" s="89">
        <f t="shared" si="110"/>
        <v>7.3699346405228754</v>
      </c>
      <c r="R60" s="37"/>
      <c r="S60" s="89">
        <f>+S40/((Q50+S50)/2)</f>
        <v>6.2850388249375628</v>
      </c>
      <c r="T60" s="89">
        <f>+T40/((S50+T50)/2)</f>
        <v>6.6690302730751689</v>
      </c>
      <c r="U60" s="89">
        <f t="shared" ref="U60:V60" si="111">+U40/((T50+U50)/2)</f>
        <v>6.8269553123331752</v>
      </c>
      <c r="V60" s="89">
        <f t="shared" si="111"/>
        <v>8.167340222403892</v>
      </c>
      <c r="W60" s="37"/>
      <c r="X60" s="89"/>
      <c r="Y60" s="89"/>
      <c r="Z60" s="89"/>
      <c r="AA60" s="89"/>
      <c r="AB60" s="37"/>
      <c r="AC60" s="89"/>
      <c r="AD60" s="89"/>
      <c r="AE60" s="89"/>
      <c r="AF60" s="89"/>
      <c r="AG60" s="37"/>
      <c r="AH60" s="89"/>
      <c r="AI60" s="89"/>
      <c r="AJ60" s="89"/>
      <c r="AK60" s="89"/>
      <c r="AL60" s="37"/>
      <c r="AM60" s="89"/>
      <c r="AN60" s="89"/>
      <c r="AO60" s="89"/>
      <c r="AP60" s="89"/>
      <c r="AQ60" s="37"/>
    </row>
    <row r="61" spans="2:43" ht="18" x14ac:dyDescent="0.4">
      <c r="B61" s="374" t="s">
        <v>126</v>
      </c>
      <c r="C61" s="375"/>
      <c r="D61" s="68" t="s">
        <v>156</v>
      </c>
      <c r="E61" s="68" t="s">
        <v>157</v>
      </c>
      <c r="F61" s="68" t="s">
        <v>158</v>
      </c>
      <c r="G61" s="68" t="s">
        <v>159</v>
      </c>
      <c r="H61" s="177" t="s">
        <v>160</v>
      </c>
      <c r="I61" s="68" t="s">
        <v>147</v>
      </c>
      <c r="J61" s="68" t="s">
        <v>148</v>
      </c>
      <c r="K61" s="68" t="s">
        <v>149</v>
      </c>
      <c r="L61" s="68" t="s">
        <v>150</v>
      </c>
      <c r="M61" s="177" t="s">
        <v>151</v>
      </c>
      <c r="N61" s="68" t="s">
        <v>138</v>
      </c>
      <c r="O61" s="68" t="s">
        <v>137</v>
      </c>
      <c r="P61" s="68" t="s">
        <v>136</v>
      </c>
      <c r="Q61" s="68" t="s">
        <v>135</v>
      </c>
      <c r="R61" s="177" t="s">
        <v>134</v>
      </c>
      <c r="S61" s="66" t="s">
        <v>273</v>
      </c>
      <c r="T61" s="66" t="s">
        <v>274</v>
      </c>
      <c r="U61" s="66" t="s">
        <v>275</v>
      </c>
      <c r="V61" s="66" t="s">
        <v>276</v>
      </c>
      <c r="W61" s="181" t="s">
        <v>277</v>
      </c>
      <c r="X61" s="66" t="s">
        <v>278</v>
      </c>
      <c r="Y61" s="66" t="s">
        <v>279</v>
      </c>
      <c r="Z61" s="66" t="s">
        <v>280</v>
      </c>
      <c r="AA61" s="66" t="s">
        <v>281</v>
      </c>
      <c r="AB61" s="181" t="s">
        <v>282</v>
      </c>
      <c r="AC61" s="66" t="s">
        <v>283</v>
      </c>
      <c r="AD61" s="66" t="s">
        <v>284</v>
      </c>
      <c r="AE61" s="66" t="s">
        <v>285</v>
      </c>
      <c r="AF61" s="66" t="s">
        <v>286</v>
      </c>
      <c r="AG61" s="181" t="s">
        <v>287</v>
      </c>
      <c r="AH61" s="66" t="s">
        <v>288</v>
      </c>
      <c r="AI61" s="66" t="s">
        <v>289</v>
      </c>
      <c r="AJ61" s="66" t="s">
        <v>290</v>
      </c>
      <c r="AK61" s="66" t="s">
        <v>291</v>
      </c>
      <c r="AL61" s="181" t="s">
        <v>292</v>
      </c>
      <c r="AM61" s="66" t="s">
        <v>293</v>
      </c>
      <c r="AN61" s="66" t="s">
        <v>294</v>
      </c>
      <c r="AO61" s="66" t="s">
        <v>295</v>
      </c>
      <c r="AP61" s="66" t="s">
        <v>296</v>
      </c>
      <c r="AQ61" s="181" t="s">
        <v>297</v>
      </c>
    </row>
    <row r="62" spans="2:43" s="109" customFormat="1" ht="15.6" customHeight="1" outlineLevel="1" x14ac:dyDescent="0.25">
      <c r="B62" s="256" t="s">
        <v>72</v>
      </c>
      <c r="C62" s="102"/>
      <c r="D62" s="91">
        <f>+D40-D13</f>
        <v>0</v>
      </c>
      <c r="E62" s="91">
        <f t="shared" ref="E62:G62" si="112">+E40-E13</f>
        <v>0</v>
      </c>
      <c r="F62" s="91">
        <f t="shared" si="112"/>
        <v>0</v>
      </c>
      <c r="G62" s="91">
        <f t="shared" si="112"/>
        <v>0</v>
      </c>
      <c r="H62" s="37"/>
      <c r="I62" s="91">
        <f>+I40-I13</f>
        <v>0</v>
      </c>
      <c r="J62" s="91">
        <f t="shared" ref="J62:L62" si="113">+J40-J13</f>
        <v>0</v>
      </c>
      <c r="K62" s="91">
        <f t="shared" si="113"/>
        <v>0</v>
      </c>
      <c r="L62" s="91">
        <f t="shared" si="113"/>
        <v>0</v>
      </c>
      <c r="M62" s="37"/>
      <c r="N62" s="91">
        <f>+N40-N13</f>
        <v>0</v>
      </c>
      <c r="O62" s="91">
        <f t="shared" ref="O62:Q62" si="114">+O40-O13</f>
        <v>0</v>
      </c>
      <c r="P62" s="91">
        <f t="shared" si="114"/>
        <v>0</v>
      </c>
      <c r="Q62" s="91">
        <f t="shared" si="114"/>
        <v>0</v>
      </c>
      <c r="R62" s="37"/>
      <c r="S62" s="91">
        <f>+S40-S13</f>
        <v>0</v>
      </c>
      <c r="T62" s="91">
        <f t="shared" ref="T62:V62" si="115">+T40-T13</f>
        <v>0</v>
      </c>
      <c r="U62" s="91">
        <f t="shared" si="115"/>
        <v>0</v>
      </c>
      <c r="V62" s="91">
        <f t="shared" si="115"/>
        <v>0</v>
      </c>
      <c r="W62" s="37"/>
      <c r="X62" s="91"/>
      <c r="Y62" s="91"/>
      <c r="Z62" s="91"/>
      <c r="AA62" s="91"/>
      <c r="AB62" s="37"/>
      <c r="AC62" s="91"/>
      <c r="AD62" s="91"/>
      <c r="AE62" s="91"/>
      <c r="AF62" s="91"/>
      <c r="AG62" s="37"/>
      <c r="AH62" s="91"/>
      <c r="AI62" s="91"/>
      <c r="AJ62" s="91"/>
      <c r="AK62" s="91"/>
      <c r="AL62" s="37"/>
      <c r="AM62" s="91"/>
      <c r="AN62" s="91"/>
      <c r="AO62" s="91"/>
      <c r="AP62" s="91"/>
      <c r="AQ62" s="37"/>
    </row>
    <row r="63" spans="2:43" ht="15" customHeight="1" x14ac:dyDescent="0.4">
      <c r="B63" s="374" t="s">
        <v>65</v>
      </c>
      <c r="C63" s="375"/>
      <c r="D63" s="68" t="s">
        <v>156</v>
      </c>
      <c r="E63" s="68" t="s">
        <v>157</v>
      </c>
      <c r="F63" s="68" t="s">
        <v>158</v>
      </c>
      <c r="G63" s="68" t="s">
        <v>159</v>
      </c>
      <c r="H63" s="177" t="s">
        <v>160</v>
      </c>
      <c r="I63" s="68" t="s">
        <v>147</v>
      </c>
      <c r="J63" s="68" t="s">
        <v>148</v>
      </c>
      <c r="K63" s="68" t="s">
        <v>149</v>
      </c>
      <c r="L63" s="68" t="s">
        <v>150</v>
      </c>
      <c r="M63" s="177" t="s">
        <v>151</v>
      </c>
      <c r="N63" s="68" t="s">
        <v>138</v>
      </c>
      <c r="O63" s="68" t="s">
        <v>137</v>
      </c>
      <c r="P63" s="68" t="s">
        <v>136</v>
      </c>
      <c r="Q63" s="68" t="s">
        <v>135</v>
      </c>
      <c r="R63" s="177" t="s">
        <v>134</v>
      </c>
      <c r="S63" s="66" t="s">
        <v>273</v>
      </c>
      <c r="T63" s="66" t="s">
        <v>274</v>
      </c>
      <c r="U63" s="66" t="s">
        <v>275</v>
      </c>
      <c r="V63" s="66" t="s">
        <v>276</v>
      </c>
      <c r="W63" s="181" t="s">
        <v>277</v>
      </c>
      <c r="X63" s="331"/>
      <c r="Y63" s="331"/>
      <c r="Z63" s="331"/>
      <c r="AA63" s="331"/>
      <c r="AB63" s="332"/>
      <c r="AC63" s="331"/>
      <c r="AD63" s="331"/>
      <c r="AE63" s="331"/>
      <c r="AF63" s="331"/>
      <c r="AG63" s="332"/>
      <c r="AH63" s="331"/>
      <c r="AI63" s="331"/>
      <c r="AJ63" s="331"/>
      <c r="AK63" s="331"/>
      <c r="AL63" s="332"/>
      <c r="AM63" s="331"/>
      <c r="AN63" s="331"/>
      <c r="AO63" s="331"/>
      <c r="AP63" s="331"/>
      <c r="AQ63" s="332"/>
    </row>
    <row r="64" spans="2:43" s="87" customFormat="1" outlineLevel="1" x14ac:dyDescent="0.25">
      <c r="B64" s="360" t="s">
        <v>264</v>
      </c>
      <c r="C64" s="361"/>
      <c r="D64" s="113"/>
      <c r="E64" s="113"/>
      <c r="F64" s="113"/>
      <c r="G64" s="113"/>
      <c r="H64" s="110"/>
      <c r="I64" s="113">
        <f t="shared" ref="I64:W64" si="116">I13/D13-1</f>
        <v>0.49238201412114457</v>
      </c>
      <c r="J64" s="113">
        <f t="shared" si="116"/>
        <v>0.44825978868862637</v>
      </c>
      <c r="K64" s="113">
        <f t="shared" si="116"/>
        <v>0.47311367850520614</v>
      </c>
      <c r="L64" s="113">
        <f t="shared" si="116"/>
        <v>0.47258485639686687</v>
      </c>
      <c r="M64" s="110">
        <f t="shared" si="116"/>
        <v>0.47090961719371882</v>
      </c>
      <c r="N64" s="113">
        <f t="shared" si="116"/>
        <v>0.48979083665338652</v>
      </c>
      <c r="O64" s="113">
        <f t="shared" si="116"/>
        <v>0.41948288810213485</v>
      </c>
      <c r="P64" s="113">
        <f t="shared" si="116"/>
        <v>0.32910534469403574</v>
      </c>
      <c r="Q64" s="113">
        <f t="shared" si="116"/>
        <v>0.30388529139685483</v>
      </c>
      <c r="R64" s="111">
        <f t="shared" si="116"/>
        <v>0.37352716896661997</v>
      </c>
      <c r="S64" s="113">
        <f t="shared" si="116"/>
        <v>0.24983285976934622</v>
      </c>
      <c r="T64" s="113">
        <f t="shared" si="116"/>
        <v>0.23639936512735238</v>
      </c>
      <c r="U64" s="113">
        <f t="shared" si="116"/>
        <v>0.23522983900342398</v>
      </c>
      <c r="V64" s="113">
        <f t="shared" si="116"/>
        <v>0.22150880927042671</v>
      </c>
      <c r="W64" s="114">
        <f t="shared" si="116"/>
        <v>0.23448010315555701</v>
      </c>
      <c r="X64" s="280"/>
      <c r="Y64" s="280"/>
      <c r="Z64" s="280"/>
      <c r="AA64" s="280"/>
      <c r="AB64" s="304"/>
      <c r="AC64" s="280"/>
      <c r="AD64" s="280"/>
      <c r="AE64" s="280"/>
      <c r="AF64" s="280"/>
      <c r="AG64" s="304"/>
      <c r="AH64" s="280"/>
      <c r="AI64" s="280"/>
      <c r="AJ64" s="280"/>
      <c r="AK64" s="280"/>
      <c r="AL64" s="304"/>
      <c r="AM64" s="280"/>
      <c r="AN64" s="280"/>
      <c r="AO64" s="280"/>
      <c r="AP64" s="280"/>
      <c r="AQ64" s="304"/>
    </row>
    <row r="65" spans="2:43" s="87" customFormat="1" outlineLevel="1" x14ac:dyDescent="0.25">
      <c r="B65" s="360" t="s">
        <v>265</v>
      </c>
      <c r="C65" s="361"/>
      <c r="D65" s="113"/>
      <c r="E65" s="113">
        <f>+E13/D13-1</f>
        <v>0.19583797844667417</v>
      </c>
      <c r="F65" s="113">
        <f t="shared" ref="F65:L65" si="117">+F13/E13-1</f>
        <v>8.9341205717837102E-2</v>
      </c>
      <c r="G65" s="113">
        <f t="shared" si="117"/>
        <v>0.25645414348880324</v>
      </c>
      <c r="H65" s="110"/>
      <c r="I65" s="113">
        <f>+I13/G13-1</f>
        <v>-8.8205244636167524E-2</v>
      </c>
      <c r="J65" s="113">
        <f t="shared" si="117"/>
        <v>0.16048306772908361</v>
      </c>
      <c r="K65" s="113">
        <f t="shared" si="117"/>
        <v>0.10803561849586951</v>
      </c>
      <c r="L65" s="113">
        <f t="shared" si="117"/>
        <v>0.25600309837335389</v>
      </c>
      <c r="M65" s="110"/>
      <c r="N65" s="113">
        <f>+N13/L13-1</f>
        <v>-7.755164970706141E-2</v>
      </c>
      <c r="O65" s="113">
        <f t="shared" ref="O65:Q65" si="118">+O13/N13-1</f>
        <v>0.10571619588835035</v>
      </c>
      <c r="P65" s="113">
        <f t="shared" si="118"/>
        <v>3.7487718237472656E-2</v>
      </c>
      <c r="Q65" s="113">
        <f t="shared" si="118"/>
        <v>0.23217017556640207</v>
      </c>
      <c r="R65" s="111"/>
      <c r="S65" s="113">
        <f>+S13/Q13-1</f>
        <v>-0.11579165188601181</v>
      </c>
      <c r="T65" s="113">
        <f t="shared" ref="T65:V65" si="119">+T13/S13-1</f>
        <v>9.3831700712112776E-2</v>
      </c>
      <c r="U65" s="113">
        <f t="shared" si="119"/>
        <v>3.6506345208695112E-2</v>
      </c>
      <c r="V65" s="113">
        <f t="shared" si="119"/>
        <v>0.21848313281434284</v>
      </c>
      <c r="W65" s="114"/>
      <c r="X65" s="280"/>
      <c r="Y65" s="280"/>
      <c r="Z65" s="280"/>
      <c r="AA65" s="280"/>
      <c r="AB65" s="304"/>
      <c r="AC65" s="280"/>
      <c r="AD65" s="280"/>
      <c r="AE65" s="280"/>
      <c r="AF65" s="280"/>
      <c r="AG65" s="304"/>
      <c r="AH65" s="280"/>
      <c r="AI65" s="280"/>
      <c r="AJ65" s="280"/>
      <c r="AK65" s="280"/>
      <c r="AL65" s="304"/>
      <c r="AM65" s="280"/>
      <c r="AN65" s="280"/>
      <c r="AO65" s="280"/>
      <c r="AP65" s="280"/>
      <c r="AQ65" s="304"/>
    </row>
    <row r="66" spans="2:43" s="87" customFormat="1" outlineLevel="1" x14ac:dyDescent="0.25">
      <c r="B66" s="262" t="s">
        <v>270</v>
      </c>
      <c r="C66" s="263"/>
      <c r="D66" s="113"/>
      <c r="E66" s="113"/>
      <c r="F66" s="113"/>
      <c r="G66" s="113"/>
      <c r="H66" s="110"/>
      <c r="I66" s="113"/>
      <c r="J66" s="113"/>
      <c r="K66" s="113"/>
      <c r="L66" s="113"/>
      <c r="M66" s="110"/>
      <c r="N66" s="316">
        <f>+N84+N13</f>
        <v>11430</v>
      </c>
      <c r="O66" s="316">
        <f t="shared" ref="O66:V66" si="120">+O84+O13</f>
        <v>12858</v>
      </c>
      <c r="P66" s="316">
        <f t="shared" si="120"/>
        <v>13886</v>
      </c>
      <c r="Q66" s="316">
        <f t="shared" si="120"/>
        <v>17262</v>
      </c>
      <c r="R66" s="111"/>
      <c r="S66" s="70">
        <f t="shared" si="120"/>
        <v>15705.499999999996</v>
      </c>
      <c r="T66" s="70">
        <f t="shared" si="120"/>
        <v>16608.8</v>
      </c>
      <c r="U66" s="70">
        <f t="shared" si="120"/>
        <v>16956</v>
      </c>
      <c r="V66" s="70">
        <f t="shared" si="120"/>
        <v>20660.599999999999</v>
      </c>
      <c r="W66" s="114"/>
      <c r="X66" s="280"/>
      <c r="Y66" s="280"/>
      <c r="Z66" s="280"/>
      <c r="AA66" s="280"/>
      <c r="AB66" s="304"/>
      <c r="AC66" s="280"/>
      <c r="AD66" s="280"/>
      <c r="AE66" s="280"/>
      <c r="AF66" s="280"/>
      <c r="AG66" s="304"/>
      <c r="AH66" s="280"/>
      <c r="AI66" s="280"/>
      <c r="AJ66" s="280"/>
      <c r="AK66" s="280"/>
      <c r="AL66" s="304"/>
      <c r="AM66" s="280"/>
      <c r="AN66" s="280"/>
      <c r="AO66" s="280"/>
      <c r="AP66" s="280"/>
      <c r="AQ66" s="304"/>
    </row>
    <row r="67" spans="2:43" s="87" customFormat="1" outlineLevel="1" x14ac:dyDescent="0.25">
      <c r="B67" s="360" t="s">
        <v>266</v>
      </c>
      <c r="C67" s="361"/>
      <c r="D67" s="113"/>
      <c r="E67" s="113"/>
      <c r="F67" s="113"/>
      <c r="G67" s="113"/>
      <c r="H67" s="110"/>
      <c r="I67" s="113"/>
      <c r="J67" s="113"/>
      <c r="K67" s="113"/>
      <c r="L67" s="113"/>
      <c r="M67" s="110"/>
      <c r="N67" s="113"/>
      <c r="O67" s="113"/>
      <c r="P67" s="113"/>
      <c r="Q67" s="113"/>
      <c r="R67" s="114">
        <f>+(R13+R84)/(M13+M84)-1</f>
        <v>0.36366319828794924</v>
      </c>
      <c r="S67" s="113">
        <f>+S66/N66-1</f>
        <v>0.3740594925634293</v>
      </c>
      <c r="T67" s="113">
        <f t="shared" ref="T67:V67" si="121">+T66/O66-1</f>
        <v>0.29170944159278256</v>
      </c>
      <c r="U67" s="113">
        <f t="shared" si="121"/>
        <v>0.22108598588506401</v>
      </c>
      <c r="V67" s="113">
        <f t="shared" si="121"/>
        <v>0.19688332754026172</v>
      </c>
      <c r="W67" s="306">
        <f>+(W13+W84)/(R13+R84)-1</f>
        <v>0.26144813031008152</v>
      </c>
      <c r="X67" s="280"/>
      <c r="Y67" s="280"/>
      <c r="Z67" s="280"/>
      <c r="AA67" s="280"/>
      <c r="AB67" s="304"/>
      <c r="AC67" s="280"/>
      <c r="AD67" s="280"/>
      <c r="AE67" s="280"/>
      <c r="AF67" s="280"/>
      <c r="AG67" s="304"/>
      <c r="AH67" s="280"/>
      <c r="AI67" s="280"/>
      <c r="AJ67" s="280"/>
      <c r="AK67" s="280"/>
      <c r="AL67" s="304"/>
      <c r="AM67" s="280"/>
      <c r="AN67" s="280"/>
      <c r="AO67" s="280"/>
      <c r="AP67" s="280"/>
      <c r="AQ67" s="304"/>
    </row>
    <row r="68" spans="2:43" s="87" customFormat="1" outlineLevel="1" x14ac:dyDescent="0.25">
      <c r="B68" s="360" t="s">
        <v>267</v>
      </c>
      <c r="C68" s="361"/>
      <c r="D68" s="113"/>
      <c r="E68" s="113"/>
      <c r="F68" s="113"/>
      <c r="G68" s="113"/>
      <c r="H68" s="110"/>
      <c r="I68" s="113"/>
      <c r="J68" s="113"/>
      <c r="K68" s="113"/>
      <c r="L68" s="113"/>
      <c r="M68" s="110"/>
      <c r="N68" s="113"/>
      <c r="O68" s="113"/>
      <c r="P68" s="113"/>
      <c r="Q68" s="113"/>
      <c r="R68" s="114"/>
      <c r="S68" s="113">
        <f>+S66/Q66-1</f>
        <v>-9.0169157687406076E-2</v>
      </c>
      <c r="T68" s="113">
        <f>+T66/S66-1</f>
        <v>5.751488332112964E-2</v>
      </c>
      <c r="U68" s="113">
        <f t="shared" ref="U68:V68" si="122">+U66/T66-1</f>
        <v>2.0904580704204978E-2</v>
      </c>
      <c r="V68" s="113">
        <f t="shared" si="122"/>
        <v>0.21848313281434284</v>
      </c>
      <c r="W68" s="306"/>
      <c r="X68" s="280"/>
      <c r="Y68" s="280"/>
      <c r="Z68" s="280"/>
      <c r="AA68" s="280"/>
      <c r="AB68" s="304"/>
      <c r="AC68" s="280"/>
      <c r="AD68" s="280"/>
      <c r="AE68" s="280"/>
      <c r="AF68" s="280"/>
      <c r="AG68" s="304"/>
      <c r="AH68" s="280"/>
      <c r="AI68" s="280"/>
      <c r="AJ68" s="280"/>
      <c r="AK68" s="280"/>
      <c r="AL68" s="304"/>
      <c r="AM68" s="280"/>
      <c r="AN68" s="280"/>
      <c r="AO68" s="280"/>
      <c r="AP68" s="280"/>
      <c r="AQ68" s="304"/>
    </row>
    <row r="69" spans="2:43" s="87" customFormat="1" ht="17.25" outlineLevel="1" x14ac:dyDescent="0.4">
      <c r="B69" s="262" t="s">
        <v>211</v>
      </c>
      <c r="C69" s="263"/>
      <c r="D69" s="113">
        <f t="shared" ref="D69:R69" si="123">+D15/D13</f>
        <v>0.84429580081753997</v>
      </c>
      <c r="E69" s="113">
        <f t="shared" si="123"/>
        <v>0.8576755748912368</v>
      </c>
      <c r="F69" s="113">
        <f t="shared" si="123"/>
        <v>0.85922122379118526</v>
      </c>
      <c r="G69" s="113">
        <f t="shared" si="123"/>
        <v>0.88103076399137248</v>
      </c>
      <c r="H69" s="110">
        <f t="shared" si="123"/>
        <v>0.86290614371517471</v>
      </c>
      <c r="I69" s="113">
        <f t="shared" si="123"/>
        <v>0.85570219123505975</v>
      </c>
      <c r="J69" s="113">
        <f t="shared" si="123"/>
        <v>0.86728891749812254</v>
      </c>
      <c r="K69" s="113">
        <f t="shared" si="123"/>
        <v>0.85979860573199074</v>
      </c>
      <c r="L69" s="113">
        <f t="shared" si="123"/>
        <v>0.87580943570767811</v>
      </c>
      <c r="M69" s="110">
        <f t="shared" si="123"/>
        <v>0.86581556096721024</v>
      </c>
      <c r="N69" s="113">
        <f t="shared" si="123"/>
        <v>0.8389603877653351</v>
      </c>
      <c r="O69" s="113">
        <f t="shared" si="123"/>
        <v>0.83266570931902351</v>
      </c>
      <c r="P69" s="113">
        <f t="shared" si="123"/>
        <v>0.82385080498288044</v>
      </c>
      <c r="Q69" s="113">
        <f t="shared" si="123"/>
        <v>0.83469315360056762</v>
      </c>
      <c r="R69" s="111">
        <f t="shared" si="123"/>
        <v>0.8324617643898421</v>
      </c>
      <c r="S69" s="317">
        <v>0.80940000000000001</v>
      </c>
      <c r="T69" s="317">
        <v>0.80649999999999999</v>
      </c>
      <c r="U69" s="317">
        <v>0.80089999999999995</v>
      </c>
      <c r="V69" s="317">
        <v>0.80900000000000005</v>
      </c>
      <c r="W69" s="111">
        <f>+W15/W13</f>
        <v>0.80650099882636095</v>
      </c>
      <c r="X69" s="280"/>
      <c r="Y69" s="362" t="s">
        <v>302</v>
      </c>
      <c r="Z69" s="363"/>
      <c r="AA69" s="80"/>
      <c r="AB69" s="81"/>
      <c r="AC69" s="80"/>
      <c r="AD69" s="362" t="s">
        <v>302</v>
      </c>
      <c r="AE69" s="363"/>
      <c r="AF69" s="80"/>
      <c r="AG69" s="81"/>
      <c r="AH69" s="80"/>
      <c r="AI69" s="362" t="s">
        <v>302</v>
      </c>
      <c r="AJ69" s="363"/>
      <c r="AK69" s="80"/>
      <c r="AL69" s="81"/>
      <c r="AM69" s="80"/>
      <c r="AN69" s="362" t="s">
        <v>302</v>
      </c>
      <c r="AO69" s="363"/>
      <c r="AP69" s="280"/>
      <c r="AQ69" s="114"/>
    </row>
    <row r="70" spans="2:43" s="87" customFormat="1" outlineLevel="1" x14ac:dyDescent="0.25">
      <c r="B70" s="262" t="s">
        <v>212</v>
      </c>
      <c r="C70" s="263"/>
      <c r="D70" s="113">
        <f t="shared" ref="D70:R70" si="124">+D17/D13</f>
        <v>0.24953548866592346</v>
      </c>
      <c r="E70" s="113">
        <f t="shared" si="124"/>
        <v>0.22731510254816656</v>
      </c>
      <c r="F70" s="113">
        <f t="shared" si="124"/>
        <v>0.21951219512195122</v>
      </c>
      <c r="G70" s="113">
        <f t="shared" si="124"/>
        <v>0.17868089453967534</v>
      </c>
      <c r="H70" s="110">
        <f t="shared" si="124"/>
        <v>0.21416166148057023</v>
      </c>
      <c r="I70" s="113">
        <f t="shared" si="124"/>
        <v>0.22833665338645417</v>
      </c>
      <c r="J70" s="113">
        <f t="shared" si="124"/>
        <v>0.20587919751099668</v>
      </c>
      <c r="K70" s="113">
        <f t="shared" si="124"/>
        <v>0.19868319132455461</v>
      </c>
      <c r="L70" s="113">
        <f t="shared" si="124"/>
        <v>0.15024668516805428</v>
      </c>
      <c r="M70" s="110">
        <f t="shared" si="124"/>
        <v>0.19073623102846038</v>
      </c>
      <c r="N70" s="113">
        <f t="shared" si="124"/>
        <v>0.18702991810128697</v>
      </c>
      <c r="O70" s="113">
        <f t="shared" si="124"/>
        <v>0.19068853450230519</v>
      </c>
      <c r="P70" s="113">
        <f t="shared" si="124"/>
        <v>0.19356013695636337</v>
      </c>
      <c r="Q70" s="113">
        <f t="shared" si="124"/>
        <v>0.16879508099798984</v>
      </c>
      <c r="R70" s="111">
        <f t="shared" si="124"/>
        <v>0.18397865253053475</v>
      </c>
      <c r="S70" s="121">
        <f>AVERAGE(N70,O70,P70,Q70)+1.91434478104126%</f>
        <v>0.20416186544989895</v>
      </c>
      <c r="T70" s="121">
        <f>AVERAGE(O70,P70,Q70,S70)+0.266226246298171%</f>
        <v>0.19196366693962105</v>
      </c>
      <c r="U70" s="121">
        <f>AVERAGE(P70,Q70,S70,T70)+1.48297544743021%</f>
        <v>0.2044499420602704</v>
      </c>
      <c r="V70" s="121">
        <f>AVERAGE(Q70,S70,T70,U70)-2%</f>
        <v>0.17234263886194509</v>
      </c>
      <c r="W70" s="111"/>
      <c r="X70" s="280"/>
      <c r="Y70" s="364"/>
      <c r="Z70" s="365"/>
      <c r="AA70" s="85"/>
      <c r="AB70" s="86"/>
      <c r="AC70" s="85"/>
      <c r="AD70" s="364"/>
      <c r="AE70" s="365"/>
      <c r="AF70" s="85"/>
      <c r="AG70" s="86"/>
      <c r="AH70" s="85"/>
      <c r="AI70" s="364"/>
      <c r="AJ70" s="365"/>
      <c r="AK70" s="85"/>
      <c r="AL70" s="86"/>
      <c r="AM70" s="85"/>
      <c r="AN70" s="364"/>
      <c r="AO70" s="365"/>
      <c r="AP70" s="280"/>
      <c r="AQ70" s="114"/>
    </row>
    <row r="71" spans="2:43" s="87" customFormat="1" ht="17.25" outlineLevel="1" x14ac:dyDescent="0.4">
      <c r="B71" s="262" t="s">
        <v>213</v>
      </c>
      <c r="C71" s="263"/>
      <c r="D71" s="113">
        <f t="shared" ref="D71:R71" si="125">+D18/D13</f>
        <v>0.15347454477889261</v>
      </c>
      <c r="E71" s="113">
        <f t="shared" si="125"/>
        <v>0.1396830329397141</v>
      </c>
      <c r="F71" s="113">
        <f t="shared" si="125"/>
        <v>0.13193552988161461</v>
      </c>
      <c r="G71" s="113">
        <f t="shared" si="125"/>
        <v>0.12736973549778635</v>
      </c>
      <c r="H71" s="110">
        <f t="shared" si="125"/>
        <v>0.13647876112598595</v>
      </c>
      <c r="I71" s="113">
        <f t="shared" si="125"/>
        <v>0.13159860557768924</v>
      </c>
      <c r="J71" s="113">
        <f t="shared" si="125"/>
        <v>0.12058791975109967</v>
      </c>
      <c r="K71" s="113">
        <f t="shared" si="125"/>
        <v>0.11328427575522851</v>
      </c>
      <c r="L71" s="113">
        <f t="shared" si="125"/>
        <v>0.1059204440333025</v>
      </c>
      <c r="M71" s="110">
        <f t="shared" si="125"/>
        <v>0.1162275846800974</v>
      </c>
      <c r="N71" s="113">
        <f t="shared" si="125"/>
        <v>0.13329433394618084</v>
      </c>
      <c r="O71" s="113">
        <f t="shared" si="125"/>
        <v>0.14020104300506386</v>
      </c>
      <c r="P71" s="113">
        <f t="shared" si="125"/>
        <v>0.14045312158519704</v>
      </c>
      <c r="Q71" s="113">
        <f t="shared" si="125"/>
        <v>0.14585550431595129</v>
      </c>
      <c r="R71" s="111">
        <f t="shared" si="125"/>
        <v>0.14049571976073641</v>
      </c>
      <c r="S71" s="121">
        <f t="shared" ref="S71:S72" si="126">AVERAGE(N71,O71,P71,Q71)+2%</f>
        <v>0.15995100071309826</v>
      </c>
      <c r="T71" s="121">
        <f t="shared" ref="T71:T72" si="127">AVERAGE(O71,P71,Q71,S71)+2%</f>
        <v>0.1666151674048276</v>
      </c>
      <c r="U71" s="121">
        <f>AVERAGE(P71,Q71,S71,T71)+1%</f>
        <v>0.16321869850476856</v>
      </c>
      <c r="V71" s="121">
        <f>AVERAGE(Q71,S71,T71,U71)+0.303546639633298%</f>
        <v>0.1619455591309944</v>
      </c>
      <c r="W71" s="111"/>
      <c r="X71" s="280"/>
      <c r="Y71" s="364"/>
      <c r="Z71" s="365"/>
      <c r="AA71" s="78"/>
      <c r="AB71" s="96"/>
      <c r="AC71" s="78"/>
      <c r="AD71" s="364"/>
      <c r="AE71" s="365"/>
      <c r="AF71" s="78"/>
      <c r="AG71" s="96"/>
      <c r="AH71" s="78"/>
      <c r="AI71" s="364"/>
      <c r="AJ71" s="365"/>
      <c r="AK71" s="78"/>
      <c r="AL71" s="96"/>
      <c r="AM71" s="78"/>
      <c r="AN71" s="364"/>
      <c r="AO71" s="365"/>
      <c r="AP71" s="280"/>
      <c r="AQ71" s="114"/>
    </row>
    <row r="72" spans="2:43" s="87" customFormat="1" outlineLevel="1" x14ac:dyDescent="0.25">
      <c r="B72" s="262" t="s">
        <v>214</v>
      </c>
      <c r="C72" s="263"/>
      <c r="D72" s="113">
        <f t="shared" ref="D72:R72" si="128">+D19/D13</f>
        <v>6.8004459308807136E-2</v>
      </c>
      <c r="E72" s="113">
        <f t="shared" si="128"/>
        <v>6.401491609695463E-2</v>
      </c>
      <c r="F72" s="113">
        <f t="shared" si="128"/>
        <v>6.2473256311510482E-2</v>
      </c>
      <c r="G72" s="113">
        <f t="shared" si="128"/>
        <v>5.8462935634010671E-2</v>
      </c>
      <c r="H72" s="110">
        <f t="shared" si="128"/>
        <v>6.2631159997105432E-2</v>
      </c>
      <c r="I72" s="113">
        <f t="shared" si="128"/>
        <v>8.1548804780876491E-2</v>
      </c>
      <c r="J72" s="113">
        <f t="shared" si="128"/>
        <v>6.8662160712369913E-2</v>
      </c>
      <c r="K72" s="113">
        <f t="shared" si="128"/>
        <v>5.1897753679318356E-2</v>
      </c>
      <c r="L72" s="113">
        <f t="shared" si="128"/>
        <v>5.2883132901634287E-2</v>
      </c>
      <c r="M72" s="110">
        <f t="shared" si="128"/>
        <v>6.1914249870858237E-2</v>
      </c>
      <c r="N72" s="113">
        <f t="shared" si="128"/>
        <v>6.3262577302356682E-2</v>
      </c>
      <c r="O72" s="113">
        <f t="shared" si="128"/>
        <v>5.865013982314262E-2</v>
      </c>
      <c r="P72" s="113">
        <f t="shared" si="128"/>
        <v>6.8696729074087567E-2</v>
      </c>
      <c r="Q72" s="113">
        <f t="shared" si="128"/>
        <v>5.7703677426983561E-2</v>
      </c>
      <c r="R72" s="111">
        <f t="shared" si="128"/>
        <v>6.1821698484902751E-2</v>
      </c>
      <c r="S72" s="121">
        <f t="shared" si="126"/>
        <v>8.2078280906642612E-2</v>
      </c>
      <c r="T72" s="121">
        <f t="shared" si="127"/>
        <v>8.6782206807714091E-2</v>
      </c>
      <c r="U72" s="121">
        <f>AVERAGE(P72,Q72,S72,T72)+1%</f>
        <v>8.3815223553856955E-2</v>
      </c>
      <c r="V72" s="121">
        <f>AVERAGE(Q72,S72,T72,U72)+0.303546639633298%</f>
        <v>8.0630313570132284E-2</v>
      </c>
      <c r="W72" s="111"/>
      <c r="X72" s="280"/>
      <c r="Y72" s="366"/>
      <c r="Z72" s="367"/>
      <c r="AA72" s="85"/>
      <c r="AB72" s="86"/>
      <c r="AC72" s="85"/>
      <c r="AD72" s="366"/>
      <c r="AE72" s="367"/>
      <c r="AF72" s="85"/>
      <c r="AG72" s="86"/>
      <c r="AH72" s="85"/>
      <c r="AI72" s="366"/>
      <c r="AJ72" s="367"/>
      <c r="AK72" s="85"/>
      <c r="AL72" s="86"/>
      <c r="AM72" s="85"/>
      <c r="AN72" s="366"/>
      <c r="AO72" s="367"/>
      <c r="AP72" s="280"/>
      <c r="AQ72" s="114"/>
    </row>
    <row r="73" spans="2:43" s="112" customFormat="1" outlineLevel="1" x14ac:dyDescent="0.25">
      <c r="B73" s="256" t="s">
        <v>252</v>
      </c>
      <c r="C73" s="257"/>
      <c r="D73" s="280"/>
      <c r="E73" s="280"/>
      <c r="F73" s="280"/>
      <c r="G73" s="280"/>
      <c r="H73" s="304"/>
      <c r="I73" s="280">
        <f>+(I14+I17+I18+I19)/(G14+G17+G18+G19)-1</f>
        <v>0.10471941770368631</v>
      </c>
      <c r="J73" s="280">
        <f>+(J14+J17+J18+J19)/(H14+H17+H18+H19)-1</f>
        <v>-0.67654986522911054</v>
      </c>
      <c r="K73" s="280">
        <f>+(K14+K17+K18+K19)/(I14+I17+I18+I19)-1</f>
        <v>0.10648246546227425</v>
      </c>
      <c r="L73" s="280">
        <f>+(L14+L17+L18+L19)/(J14+J17+J18+J19)-1</f>
        <v>0.14227642276422769</v>
      </c>
      <c r="M73" s="304">
        <f>+(M14+M17+M18+M19)/(H14+H17+H18+H19)-1</f>
        <v>0.3444875419104596</v>
      </c>
      <c r="N73" s="280">
        <f>+(N14+N17+N18+N19)/(L14+L17+L18+L19)-1</f>
        <v>0.159608540925267</v>
      </c>
      <c r="O73" s="280">
        <f>+(O14+O17+O18+O19)/(M14+M17+M18+M19)-1</f>
        <v>-0.63972421886460318</v>
      </c>
      <c r="P73" s="280">
        <f>+(P14+P17+P18+P19)/(N14+N17+N18+N19)-1</f>
        <v>0.21927267147460494</v>
      </c>
      <c r="Q73" s="280">
        <f>+(Q14+Q17+Q18+Q19)/(O14+O17+O18+O19)-1</f>
        <v>0.23425624321389793</v>
      </c>
      <c r="R73" s="304">
        <f>+(R14+R17+R18+R19)/(M14+M17+M18+M19)-1</f>
        <v>0.5121509950613663</v>
      </c>
      <c r="S73" s="280">
        <f>+(S14+S17+S18+S19)/(Q14+Q17+Q18+Q19)-1</f>
        <v>4.7232241038046796E-2</v>
      </c>
      <c r="T73" s="280">
        <f>+(T14+T17+T18+T19)/(R14+R17+R18+R19)-1</f>
        <v>-0.66205335489086492</v>
      </c>
      <c r="U73" s="280">
        <f>+(U14+U17+U18+U19)/(S14+S17+S18+S19)-1</f>
        <v>0.15832049670657877</v>
      </c>
      <c r="V73" s="280">
        <f>+(V14+V17+V18+V19)/(T14+T17+T18+T19)-1</f>
        <v>0.19784135489426835</v>
      </c>
      <c r="W73" s="305">
        <f>+(W14+W17+W18+W19)/(R14+R17+R18+R19)-1</f>
        <v>0.40742021018593344</v>
      </c>
      <c r="X73" s="280"/>
      <c r="Y73" s="77"/>
      <c r="Z73" s="77"/>
      <c r="AA73" s="77"/>
      <c r="AB73" s="37"/>
      <c r="AC73" s="77"/>
      <c r="AD73" s="77"/>
      <c r="AE73" s="77"/>
      <c r="AF73" s="77"/>
      <c r="AG73" s="37"/>
      <c r="AH73" s="77"/>
      <c r="AI73" s="77"/>
      <c r="AJ73" s="77"/>
      <c r="AK73" s="77"/>
      <c r="AL73" s="37"/>
      <c r="AM73" s="77"/>
      <c r="AN73" s="77"/>
      <c r="AO73" s="77"/>
      <c r="AP73" s="280"/>
      <c r="AQ73" s="304"/>
    </row>
    <row r="74" spans="2:43" s="87" customFormat="1" outlineLevel="1" x14ac:dyDescent="0.25">
      <c r="B74" s="358" t="s">
        <v>27</v>
      </c>
      <c r="C74" s="359"/>
      <c r="D74" s="107">
        <f t="shared" ref="D74:W74" si="129">D21/D13</f>
        <v>0.37328130806391674</v>
      </c>
      <c r="E74" s="107">
        <f t="shared" si="129"/>
        <v>0.42666252330640148</v>
      </c>
      <c r="F74" s="107">
        <f t="shared" si="129"/>
        <v>0.445300242476109</v>
      </c>
      <c r="G74" s="107">
        <f t="shared" si="129"/>
        <v>0.51651719831990006</v>
      </c>
      <c r="H74" s="114">
        <f t="shared" si="129"/>
        <v>0.44963456111151312</v>
      </c>
      <c r="I74" s="107">
        <f t="shared" si="129"/>
        <v>0.41421812749003983</v>
      </c>
      <c r="J74" s="107">
        <f t="shared" si="129"/>
        <v>0.47215963952365625</v>
      </c>
      <c r="K74" s="107">
        <f t="shared" si="129"/>
        <v>0.49593338497288925</v>
      </c>
      <c r="L74" s="107">
        <f t="shared" si="129"/>
        <v>0.56675917360468697</v>
      </c>
      <c r="M74" s="114">
        <f t="shared" si="129"/>
        <v>0.49693749538779425</v>
      </c>
      <c r="N74" s="107">
        <f t="shared" si="129"/>
        <v>0.45537355841551064</v>
      </c>
      <c r="O74" s="107">
        <f t="shared" si="129"/>
        <v>0.44312599198851182</v>
      </c>
      <c r="P74" s="107">
        <f t="shared" si="129"/>
        <v>0.42114081736723247</v>
      </c>
      <c r="Q74" s="107">
        <f t="shared" si="129"/>
        <v>0.46233889085964291</v>
      </c>
      <c r="R74" s="114">
        <f t="shared" si="129"/>
        <v>0.44616569361366809</v>
      </c>
      <c r="S74" s="107">
        <f t="shared" si="129"/>
        <v>0.36320885293036009</v>
      </c>
      <c r="T74" s="107">
        <f t="shared" si="129"/>
        <v>0.3611389588478372</v>
      </c>
      <c r="U74" s="107">
        <f t="shared" si="129"/>
        <v>0.34941613588110404</v>
      </c>
      <c r="V74" s="107">
        <f t="shared" si="129"/>
        <v>0.39408148843692825</v>
      </c>
      <c r="W74" s="114">
        <f t="shared" si="129"/>
        <v>0.36857824284899809</v>
      </c>
      <c r="X74" s="107"/>
      <c r="Y74" s="107"/>
      <c r="Z74" s="107"/>
      <c r="AA74" s="107"/>
      <c r="AB74" s="114"/>
      <c r="AC74" s="107"/>
      <c r="AD74" s="107"/>
      <c r="AE74" s="107"/>
      <c r="AF74" s="107"/>
      <c r="AG74" s="114"/>
      <c r="AH74" s="107"/>
      <c r="AI74" s="107"/>
      <c r="AJ74" s="107"/>
      <c r="AK74" s="107"/>
      <c r="AL74" s="114"/>
      <c r="AM74" s="107"/>
      <c r="AN74" s="107"/>
      <c r="AO74" s="107"/>
      <c r="AP74" s="107"/>
      <c r="AQ74" s="114"/>
    </row>
    <row r="75" spans="2:43" s="87" customFormat="1" outlineLevel="1" x14ac:dyDescent="0.25">
      <c r="B75" s="358" t="s">
        <v>2</v>
      </c>
      <c r="C75" s="359"/>
      <c r="D75" s="107">
        <f t="shared" ref="D75:R75" si="130">-D24/D23</f>
        <v>0.26876513317191281</v>
      </c>
      <c r="E75" s="107">
        <f t="shared" si="130"/>
        <v>0.25704989154013014</v>
      </c>
      <c r="F75" s="107">
        <f t="shared" si="130"/>
        <v>0.24928999684443043</v>
      </c>
      <c r="G75" s="107">
        <f t="shared" si="130"/>
        <v>5.422753430721558E-2</v>
      </c>
      <c r="H75" s="114">
        <f t="shared" si="130"/>
        <v>0.18381530595941845</v>
      </c>
      <c r="I75" s="107">
        <f t="shared" si="130"/>
        <v>0.10093896713615023</v>
      </c>
      <c r="J75" s="107">
        <f t="shared" si="130"/>
        <v>0.13235294117647059</v>
      </c>
      <c r="K75" s="107">
        <f t="shared" si="130"/>
        <v>0.10103132161955691</v>
      </c>
      <c r="L75" s="107">
        <f t="shared" si="130"/>
        <v>0.42803537925489143</v>
      </c>
      <c r="M75" s="114">
        <f t="shared" si="130"/>
        <v>0.22632805671554823</v>
      </c>
      <c r="N75" s="107">
        <f t="shared" si="130"/>
        <v>0.11087344028520499</v>
      </c>
      <c r="O75" s="107">
        <f t="shared" si="130"/>
        <v>0.12985685071574643</v>
      </c>
      <c r="P75" s="107">
        <f t="shared" si="130"/>
        <v>0.13108930987821379</v>
      </c>
      <c r="Q75" s="107">
        <f t="shared" si="130"/>
        <v>0.13662024840045164</v>
      </c>
      <c r="R75" s="114">
        <f t="shared" si="130"/>
        <v>0.12807065967430306</v>
      </c>
      <c r="S75" s="320">
        <v>0.15240682837581071</v>
      </c>
      <c r="T75" s="121">
        <v>0.15586167579075591</v>
      </c>
      <c r="U75" s="121">
        <v>0.15677957879074209</v>
      </c>
      <c r="V75" s="121">
        <v>0.16</v>
      </c>
      <c r="W75" s="306">
        <f>-W24/W23</f>
        <v>0.15665798607158604</v>
      </c>
      <c r="X75" s="280"/>
      <c r="Y75" s="280"/>
      <c r="Z75" s="280"/>
      <c r="AA75" s="280"/>
      <c r="AB75" s="114"/>
      <c r="AC75" s="280"/>
      <c r="AD75" s="280"/>
      <c r="AE75" s="280"/>
      <c r="AF75" s="280"/>
      <c r="AG75" s="114"/>
      <c r="AH75" s="280"/>
      <c r="AI75" s="280"/>
      <c r="AJ75" s="280"/>
      <c r="AK75" s="280"/>
      <c r="AL75" s="114"/>
      <c r="AM75" s="280"/>
      <c r="AN75" s="280"/>
      <c r="AO75" s="280"/>
      <c r="AP75" s="280"/>
      <c r="AQ75" s="114"/>
    </row>
    <row r="76" spans="2:43" s="87" customFormat="1" outlineLevel="1" x14ac:dyDescent="0.25">
      <c r="B76" s="358" t="s">
        <v>251</v>
      </c>
      <c r="C76" s="359"/>
      <c r="D76" s="107"/>
      <c r="E76" s="107">
        <f>+E22/(AVERAGE(E94,D94,E95,D95))</f>
        <v>1.8217424966980916E-3</v>
      </c>
      <c r="F76" s="107">
        <f>+F22/(AVERAGE(F94,E94,F95,E95))</f>
        <v>3.8031274654582972E-3</v>
      </c>
      <c r="G76" s="107">
        <f>+G22/(AVERAGE(G94,F94,G95,F95))</f>
        <v>-2.3026138264764613E-3</v>
      </c>
      <c r="H76" s="114"/>
      <c r="I76" s="107">
        <f>+I22/(AVERAGE(I94,G94,I95,G95))</f>
        <v>5.246538741802283E-3</v>
      </c>
      <c r="J76" s="107">
        <f>+J22/(AVERAGE(J94,I94,J95,I95))</f>
        <v>5.13592490923581E-3</v>
      </c>
      <c r="K76" s="107">
        <f>+K22/(AVERAGE(K94,J94,K95,J95))</f>
        <v>6.1838054813468761E-3</v>
      </c>
      <c r="L76" s="107">
        <f>+L22/(AVERAGE(L94,K94,L95,K95))</f>
        <v>5.4999999999999997E-3</v>
      </c>
      <c r="M76" s="114">
        <f>+M22/(AVERAGE(M94,H94,M95,H95))</f>
        <v>2.2034851039910062E-2</v>
      </c>
      <c r="N76" s="107">
        <f>+N22/(AVERAGE(N94,L94,N95,L95))</f>
        <v>7.5174804767296627E-3</v>
      </c>
      <c r="O76" s="107">
        <f>+O22/(AVERAGE(O94,N94,O95,N95))</f>
        <v>2.318437373210456E-4</v>
      </c>
      <c r="P76" s="107">
        <f>+P22/(AVERAGE(P94,O94,P95,O95))</f>
        <v>6.274321978087769E-3</v>
      </c>
      <c r="Q76" s="107">
        <f>+Q22/(AVERAGE(Q94,P94,Q95,P95))</f>
        <v>7.3372206025267249E-3</v>
      </c>
      <c r="R76" s="114">
        <f>+R22/(AVERAGE(R94,M94,R95,M95))</f>
        <v>2.1635979474796257E-2</v>
      </c>
      <c r="S76" s="107"/>
      <c r="T76" s="107"/>
      <c r="U76" s="107"/>
      <c r="V76" s="107"/>
      <c r="W76" s="114">
        <f>+W22/(AVERAGE(W94,R94,W95,R95))</f>
        <v>2.2217948873862917E-2</v>
      </c>
      <c r="X76" s="107"/>
      <c r="Y76" s="107"/>
      <c r="Z76" s="107"/>
      <c r="AA76" s="107"/>
      <c r="AB76" s="114"/>
      <c r="AC76" s="107"/>
      <c r="AD76" s="107"/>
      <c r="AE76" s="107"/>
      <c r="AF76" s="107"/>
      <c r="AG76" s="114"/>
      <c r="AH76" s="107"/>
      <c r="AI76" s="107"/>
      <c r="AJ76" s="107"/>
      <c r="AK76" s="107"/>
      <c r="AL76" s="114"/>
      <c r="AM76" s="107"/>
      <c r="AN76" s="107"/>
      <c r="AO76" s="107"/>
      <c r="AP76" s="107"/>
      <c r="AQ76" s="114"/>
    </row>
    <row r="77" spans="2:43" ht="18" x14ac:dyDescent="0.4">
      <c r="B77" s="374" t="s">
        <v>70</v>
      </c>
      <c r="C77" s="375"/>
      <c r="D77" s="68" t="s">
        <v>156</v>
      </c>
      <c r="E77" s="68" t="s">
        <v>157</v>
      </c>
      <c r="F77" s="68" t="s">
        <v>158</v>
      </c>
      <c r="G77" s="68" t="s">
        <v>159</v>
      </c>
      <c r="H77" s="177" t="s">
        <v>160</v>
      </c>
      <c r="I77" s="68" t="s">
        <v>147</v>
      </c>
      <c r="J77" s="68" t="s">
        <v>148</v>
      </c>
      <c r="K77" s="68" t="s">
        <v>149</v>
      </c>
      <c r="L77" s="68" t="s">
        <v>150</v>
      </c>
      <c r="M77" s="177" t="s">
        <v>151</v>
      </c>
      <c r="N77" s="68" t="s">
        <v>138</v>
      </c>
      <c r="O77" s="68" t="s">
        <v>137</v>
      </c>
      <c r="P77" s="68" t="s">
        <v>136</v>
      </c>
      <c r="Q77" s="68" t="s">
        <v>135</v>
      </c>
      <c r="R77" s="177" t="s">
        <v>134</v>
      </c>
      <c r="S77" s="66" t="s">
        <v>273</v>
      </c>
      <c r="T77" s="66" t="s">
        <v>274</v>
      </c>
      <c r="U77" s="66" t="s">
        <v>275</v>
      </c>
      <c r="V77" s="66" t="s">
        <v>276</v>
      </c>
      <c r="W77" s="181" t="s">
        <v>277</v>
      </c>
      <c r="X77" s="331"/>
      <c r="Y77" s="331"/>
      <c r="Z77" s="331"/>
      <c r="AA77" s="331"/>
      <c r="AB77" s="332"/>
      <c r="AC77" s="331"/>
      <c r="AD77" s="331"/>
      <c r="AE77" s="331"/>
      <c r="AF77" s="331"/>
      <c r="AG77" s="332"/>
      <c r="AH77" s="331"/>
      <c r="AI77" s="331"/>
      <c r="AJ77" s="331"/>
      <c r="AK77" s="331"/>
      <c r="AL77" s="332"/>
      <c r="AM77" s="331"/>
      <c r="AN77" s="331"/>
      <c r="AO77" s="331"/>
      <c r="AP77" s="331"/>
      <c r="AQ77" s="332"/>
    </row>
    <row r="78" spans="2:43" outlineLevel="1" x14ac:dyDescent="0.25">
      <c r="B78" s="358" t="s">
        <v>61</v>
      </c>
      <c r="C78" s="359"/>
      <c r="D78" s="107"/>
      <c r="E78" s="107"/>
      <c r="F78" s="107"/>
      <c r="G78" s="107"/>
      <c r="H78" s="110"/>
      <c r="I78" s="107">
        <f>(I28+I82)/G28-1</f>
        <v>3.7956280360860184E-3</v>
      </c>
      <c r="J78" s="107">
        <f>(J28+J82)/I28-1</f>
        <v>3.5230024213075417E-3</v>
      </c>
      <c r="K78" s="107">
        <f>(K28+K82)/J28-1</f>
        <v>2.6834940513578154E-3</v>
      </c>
      <c r="L78" s="107">
        <f>(L28+L82)/K28-1</f>
        <v>3.0440486794380828E-3</v>
      </c>
      <c r="M78" s="110"/>
      <c r="N78" s="107">
        <f>(N28+N82)/L28-1</f>
        <v>3.4813988299604581E-3</v>
      </c>
      <c r="O78" s="107">
        <f>(O28+O82)/N28-1</f>
        <v>2.5467086450188248E-3</v>
      </c>
      <c r="P78" s="107">
        <f>(P28+P82)/O28-1</f>
        <v>4.9405360145176047E-3</v>
      </c>
      <c r="Q78" s="107">
        <f>(Q28+Q82)/P28-1</f>
        <v>4.4046487651729915E-3</v>
      </c>
      <c r="R78" s="41"/>
      <c r="S78" s="122">
        <f t="shared" ref="S78:S79" si="131">AVERAGE(N78,O78,P78,Q78)</f>
        <v>3.8433230636674698E-3</v>
      </c>
      <c r="T78" s="122">
        <f t="shared" ref="T78:T79" si="132">AVERAGE(O78,P78,Q78,S78)</f>
        <v>3.9338041220942227E-3</v>
      </c>
      <c r="U78" s="122">
        <f t="shared" ref="U78:U79" si="133">AVERAGE(P78,Q78,S78,T78)</f>
        <v>4.2805779913630722E-3</v>
      </c>
      <c r="V78" s="122">
        <f t="shared" ref="V78:V79" si="134">AVERAGE(Q78,S78,T78,U78)</f>
        <v>4.115588485574439E-3</v>
      </c>
      <c r="W78" s="41"/>
      <c r="X78" s="107"/>
      <c r="Y78" s="107"/>
      <c r="Z78" s="107"/>
      <c r="AA78" s="107"/>
      <c r="AB78" s="333"/>
      <c r="AC78" s="107"/>
      <c r="AD78" s="107"/>
      <c r="AE78" s="107"/>
      <c r="AF78" s="107"/>
      <c r="AG78" s="333"/>
      <c r="AH78" s="107"/>
      <c r="AI78" s="107"/>
      <c r="AJ78" s="107"/>
      <c r="AK78" s="107"/>
      <c r="AL78" s="333"/>
      <c r="AM78" s="107"/>
      <c r="AN78" s="107"/>
      <c r="AO78" s="107"/>
      <c r="AP78" s="107"/>
      <c r="AQ78" s="333"/>
    </row>
    <row r="79" spans="2:43" outlineLevel="1" x14ac:dyDescent="0.25">
      <c r="B79" s="358" t="s">
        <v>62</v>
      </c>
      <c r="C79" s="359"/>
      <c r="D79" s="107"/>
      <c r="E79" s="107"/>
      <c r="F79" s="107"/>
      <c r="G79" s="107"/>
      <c r="H79" s="110"/>
      <c r="I79" s="107">
        <f>(I29+I82)/G29-1</f>
        <v>2.7021783526208765E-3</v>
      </c>
      <c r="J79" s="107">
        <f>(J29+J82)/I29-1</f>
        <v>2.7802309782607448E-3</v>
      </c>
      <c r="K79" s="107">
        <f>(K29+K82)/J29-1</f>
        <v>2.9759853435913364E-3</v>
      </c>
      <c r="L79" s="107">
        <f>(L29+L82)/K29-1</f>
        <v>1.2990248190420939E-3</v>
      </c>
      <c r="M79" s="110"/>
      <c r="N79" s="107">
        <f>(N29+N82)/L29-1</f>
        <v>7.1781530084469303E-4</v>
      </c>
      <c r="O79" s="107">
        <f>(O29+O82)/N29-1</f>
        <v>1.1547488361374203E-3</v>
      </c>
      <c r="P79" s="107">
        <f>(P29+P82)/O29-1</f>
        <v>2.4924408744124715E-3</v>
      </c>
      <c r="Q79" s="107">
        <f>(Q29+Q82)/P29-1</f>
        <v>-4.4373096892402764E-4</v>
      </c>
      <c r="R79" s="41"/>
      <c r="S79" s="122">
        <f t="shared" si="131"/>
        <v>9.803185106176393E-4</v>
      </c>
      <c r="T79" s="122">
        <f t="shared" si="132"/>
        <v>1.0459443130608759E-3</v>
      </c>
      <c r="U79" s="122">
        <f t="shared" si="133"/>
        <v>1.0187431822917398E-3</v>
      </c>
      <c r="V79" s="122">
        <f t="shared" si="134"/>
        <v>6.5031875926155683E-4</v>
      </c>
      <c r="W79" s="41"/>
      <c r="X79" s="107"/>
      <c r="Y79" s="107"/>
      <c r="Z79" s="107"/>
      <c r="AA79" s="107"/>
      <c r="AB79" s="333"/>
      <c r="AC79" s="107"/>
      <c r="AD79" s="107"/>
      <c r="AE79" s="107"/>
      <c r="AF79" s="107"/>
      <c r="AG79" s="333"/>
      <c r="AH79" s="107"/>
      <c r="AI79" s="107"/>
      <c r="AJ79" s="107"/>
      <c r="AK79" s="107"/>
      <c r="AL79" s="333"/>
      <c r="AM79" s="107"/>
      <c r="AN79" s="107"/>
      <c r="AO79" s="107"/>
      <c r="AP79" s="107"/>
      <c r="AQ79" s="333"/>
    </row>
    <row r="80" spans="2:43" outlineLevel="1" x14ac:dyDescent="0.25">
      <c r="B80" s="358" t="s">
        <v>28</v>
      </c>
      <c r="C80" s="359"/>
      <c r="D80" s="125"/>
      <c r="E80" s="125"/>
      <c r="F80" s="125"/>
      <c r="G80" s="125"/>
      <c r="H80" s="129"/>
      <c r="I80" s="125">
        <v>117.82</v>
      </c>
      <c r="J80" s="125">
        <v>151.91</v>
      </c>
      <c r="K80" s="125">
        <v>166.56332334630517</v>
      </c>
      <c r="L80" s="125">
        <v>176.70181536624793</v>
      </c>
      <c r="M80" s="129"/>
      <c r="N80" s="125">
        <v>172.2070981221278</v>
      </c>
      <c r="O80" s="125">
        <v>174.6990364065723</v>
      </c>
      <c r="P80" s="125">
        <v>175.11542355903225</v>
      </c>
      <c r="Q80" s="125">
        <v>137.87315514615219</v>
      </c>
      <c r="R80" s="129"/>
      <c r="S80" s="127">
        <v>167</v>
      </c>
      <c r="T80" s="127">
        <v>167</v>
      </c>
      <c r="U80" s="127">
        <v>167</v>
      </c>
      <c r="V80" s="127">
        <v>167</v>
      </c>
      <c r="W80" s="126"/>
      <c r="X80" s="125"/>
      <c r="Y80" s="125"/>
      <c r="Z80" s="125"/>
      <c r="AA80" s="125"/>
      <c r="AB80" s="126"/>
      <c r="AC80" s="125"/>
      <c r="AD80" s="125"/>
      <c r="AE80" s="125"/>
      <c r="AF80" s="125"/>
      <c r="AG80" s="126"/>
      <c r="AH80" s="125"/>
      <c r="AI80" s="125"/>
      <c r="AJ80" s="125"/>
      <c r="AK80" s="125"/>
      <c r="AL80" s="126"/>
      <c r="AM80" s="125"/>
      <c r="AN80" s="125"/>
      <c r="AO80" s="125"/>
      <c r="AP80" s="125"/>
      <c r="AQ80" s="126"/>
    </row>
    <row r="81" spans="1:43" outlineLevel="1" x14ac:dyDescent="0.25">
      <c r="B81" s="358" t="s">
        <v>29</v>
      </c>
      <c r="C81" s="359"/>
      <c r="D81" s="77"/>
      <c r="E81" s="77"/>
      <c r="F81" s="77"/>
      <c r="G81" s="77"/>
      <c r="H81" s="88"/>
      <c r="I81" s="77">
        <f>+(1939*117.82+18*0)/1000</f>
        <v>228.45297999999997</v>
      </c>
      <c r="J81" s="77">
        <f>1185*151.91/1000</f>
        <v>180.01335</v>
      </c>
      <c r="K81" s="77">
        <f>+(1249*160.1+1360*169.12+1173*170.5)/1000</f>
        <v>629.96460000000002</v>
      </c>
      <c r="L81" s="77">
        <f>+(1008*172.19+4832*177.64)/1000</f>
        <v>1031.924</v>
      </c>
      <c r="M81" s="88">
        <f>SUM(I81:L81)</f>
        <v>2070.35493</v>
      </c>
      <c r="N81" s="77">
        <f>+(1706*184.67+1576*180.83+7838*167.77)/1000</f>
        <v>1915.0163599999998</v>
      </c>
      <c r="O81" s="77">
        <f>+(9668*161.2+3353*180.81+5380*195.14)/1000</f>
        <v>3214.5907299999994</v>
      </c>
      <c r="P81" s="77">
        <f>(5288*198.56+6480*177.52+12535*163.98)/1000</f>
        <v>4255.8041800000001</v>
      </c>
      <c r="Q81" s="77">
        <f>+(25708*137.87)/1000</f>
        <v>3544.3619600000002</v>
      </c>
      <c r="R81" s="88">
        <f>SUM(N81:Q81)</f>
        <v>12929.773230000001</v>
      </c>
      <c r="S81" s="120">
        <v>1000</v>
      </c>
      <c r="T81" s="120">
        <v>750</v>
      </c>
      <c r="U81" s="120">
        <v>500</v>
      </c>
      <c r="V81" s="120">
        <v>500</v>
      </c>
      <c r="W81" s="88">
        <f>+SUM(S81:V81)</f>
        <v>2750</v>
      </c>
      <c r="X81" s="77"/>
      <c r="Y81" s="77"/>
      <c r="Z81" s="77"/>
      <c r="AA81" s="77"/>
      <c r="AB81" s="88"/>
      <c r="AC81" s="77"/>
      <c r="AD81" s="77"/>
      <c r="AE81" s="77"/>
      <c r="AF81" s="77"/>
      <c r="AG81" s="88"/>
      <c r="AH81" s="77"/>
      <c r="AI81" s="77"/>
      <c r="AJ81" s="77"/>
      <c r="AK81" s="77"/>
      <c r="AL81" s="88"/>
      <c r="AM81" s="77"/>
      <c r="AN81" s="77"/>
      <c r="AO81" s="77"/>
      <c r="AP81" s="77"/>
      <c r="AQ81" s="88"/>
    </row>
    <row r="82" spans="1:43" outlineLevel="1" x14ac:dyDescent="0.25">
      <c r="B82" s="420" t="s">
        <v>66</v>
      </c>
      <c r="C82" s="421"/>
      <c r="D82" s="130"/>
      <c r="E82" s="130"/>
      <c r="F82" s="130"/>
      <c r="G82" s="130"/>
      <c r="H82" s="286"/>
      <c r="I82" s="130">
        <f>IF((I81)&gt;0,(I81/I80),0)</f>
        <v>1.9389999999999998</v>
      </c>
      <c r="J82" s="130">
        <f>IF((J81)&gt;0,(J81/J80),0)</f>
        <v>1.1850000000000001</v>
      </c>
      <c r="K82" s="130">
        <f>IF((K81)&gt;0,(K81/K80),0)</f>
        <v>3.7821327489379395</v>
      </c>
      <c r="L82" s="130">
        <f>IF((L81)&gt;0,(L81/L80),0)</f>
        <v>5.8399173650884251</v>
      </c>
      <c r="M82" s="286">
        <f>+SUM(I82:L82)</f>
        <v>12.746050114026364</v>
      </c>
      <c r="N82" s="130">
        <f>IF((N81)&gt;0,(N81/N80),0)</f>
        <v>11.120426398695173</v>
      </c>
      <c r="O82" s="130">
        <f>IF((O81)&gt;0,(O81/O80),0)</f>
        <v>18.400735322424847</v>
      </c>
      <c r="P82" s="130">
        <f>IF((P81)&gt;0,(P81/P80),0)</f>
        <v>24.302851762028535</v>
      </c>
      <c r="Q82" s="130">
        <f>IF((Q81)&gt;0,(Q81/Q80),0)</f>
        <v>25.707411687523983</v>
      </c>
      <c r="R82" s="286">
        <f>+SUM(N82:Q82)</f>
        <v>79.531425170672534</v>
      </c>
      <c r="S82" s="130">
        <f>IF((S81)&gt;0,(S81/S80),0)</f>
        <v>5.9880239520958085</v>
      </c>
      <c r="T82" s="130">
        <f>IF((T81)&gt;0,(T81/T80),0)</f>
        <v>4.4910179640718564</v>
      </c>
      <c r="U82" s="130">
        <f>IF((U81)&gt;0,(U81/U80),0)</f>
        <v>2.9940119760479043</v>
      </c>
      <c r="V82" s="130">
        <f>IF((V81)&gt;0,(V81/V80),0)</f>
        <v>2.9940119760479043</v>
      </c>
      <c r="W82" s="286">
        <f>+SUM(S82:V82)</f>
        <v>16.467065868263475</v>
      </c>
      <c r="X82" s="342"/>
      <c r="Y82" s="342"/>
      <c r="Z82" s="342"/>
      <c r="AA82" s="342"/>
      <c r="AB82" s="343"/>
      <c r="AC82" s="342"/>
      <c r="AD82" s="342"/>
      <c r="AE82" s="342"/>
      <c r="AF82" s="342"/>
      <c r="AG82" s="343"/>
      <c r="AH82" s="342"/>
      <c r="AI82" s="342"/>
      <c r="AJ82" s="342"/>
      <c r="AK82" s="342"/>
      <c r="AL82" s="343"/>
      <c r="AM82" s="342"/>
      <c r="AN82" s="342"/>
      <c r="AO82" s="342"/>
      <c r="AP82" s="342"/>
      <c r="AQ82" s="343"/>
    </row>
    <row r="83" spans="1:43" ht="18" x14ac:dyDescent="0.4">
      <c r="B83" s="374" t="s">
        <v>95</v>
      </c>
      <c r="C83" s="375"/>
      <c r="D83" s="68" t="s">
        <v>156</v>
      </c>
      <c r="E83" s="68" t="s">
        <v>157</v>
      </c>
      <c r="F83" s="68" t="s">
        <v>158</v>
      </c>
      <c r="G83" s="68" t="s">
        <v>159</v>
      </c>
      <c r="H83" s="177" t="s">
        <v>160</v>
      </c>
      <c r="I83" s="68" t="s">
        <v>147</v>
      </c>
      <c r="J83" s="68" t="s">
        <v>148</v>
      </c>
      <c r="K83" s="68" t="s">
        <v>149</v>
      </c>
      <c r="L83" s="68" t="s">
        <v>150</v>
      </c>
      <c r="M83" s="177" t="s">
        <v>151</v>
      </c>
      <c r="N83" s="68" t="s">
        <v>138</v>
      </c>
      <c r="O83" s="68" t="s">
        <v>137</v>
      </c>
      <c r="P83" s="68" t="s">
        <v>136</v>
      </c>
      <c r="Q83" s="68" t="s">
        <v>135</v>
      </c>
      <c r="R83" s="177" t="s">
        <v>134</v>
      </c>
      <c r="S83" s="66" t="s">
        <v>273</v>
      </c>
      <c r="T83" s="66" t="s">
        <v>274</v>
      </c>
      <c r="U83" s="66" t="s">
        <v>275</v>
      </c>
      <c r="V83" s="66" t="s">
        <v>276</v>
      </c>
      <c r="W83" s="181" t="s">
        <v>277</v>
      </c>
      <c r="X83" s="344"/>
      <c r="Y83" s="331"/>
      <c r="Z83" s="331"/>
      <c r="AA83" s="331"/>
      <c r="AB83" s="332"/>
      <c r="AC83" s="331"/>
      <c r="AD83" s="331"/>
      <c r="AE83" s="331"/>
      <c r="AF83" s="331"/>
      <c r="AG83" s="332"/>
      <c r="AH83" s="331"/>
      <c r="AI83" s="331"/>
      <c r="AJ83" s="331"/>
      <c r="AK83" s="331"/>
      <c r="AL83" s="332"/>
      <c r="AM83" s="331"/>
      <c r="AN83" s="331"/>
      <c r="AO83" s="331"/>
      <c r="AP83" s="331"/>
      <c r="AQ83" s="332"/>
    </row>
    <row r="84" spans="1:43" outlineLevel="1" x14ac:dyDescent="0.25">
      <c r="B84" s="358" t="s">
        <v>215</v>
      </c>
      <c r="C84" s="359"/>
      <c r="D84" s="77"/>
      <c r="E84" s="77"/>
      <c r="F84" s="77"/>
      <c r="G84" s="77"/>
      <c r="H84" s="88"/>
      <c r="I84" s="77">
        <v>-536</v>
      </c>
      <c r="J84" s="77">
        <v>-373</v>
      </c>
      <c r="K84" s="77">
        <v>159</v>
      </c>
      <c r="L84" s="77">
        <v>348</v>
      </c>
      <c r="M84" s="88"/>
      <c r="N84" s="77">
        <v>-536</v>
      </c>
      <c r="O84" s="77">
        <v>-373</v>
      </c>
      <c r="P84" s="77">
        <v>159</v>
      </c>
      <c r="Q84" s="77">
        <v>348</v>
      </c>
      <c r="R84" s="88">
        <v>-401</v>
      </c>
      <c r="S84" s="120">
        <v>750</v>
      </c>
      <c r="T84" s="120">
        <v>250</v>
      </c>
      <c r="U84" s="120">
        <v>0</v>
      </c>
      <c r="V84" s="120">
        <v>0</v>
      </c>
      <c r="W84" s="88">
        <f t="shared" ref="W84" si="135">SUM(S84:V84)</f>
        <v>1000</v>
      </c>
      <c r="X84" s="77"/>
      <c r="Y84" s="77"/>
      <c r="Z84" s="77"/>
      <c r="AA84" s="77"/>
      <c r="AB84" s="88"/>
      <c r="AC84" s="77"/>
      <c r="AD84" s="77"/>
      <c r="AE84" s="77"/>
      <c r="AF84" s="77"/>
      <c r="AG84" s="88"/>
      <c r="AH84" s="77"/>
      <c r="AI84" s="77"/>
      <c r="AJ84" s="77"/>
      <c r="AK84" s="77"/>
      <c r="AL84" s="88"/>
      <c r="AM84" s="77"/>
      <c r="AN84" s="77"/>
      <c r="AO84" s="77"/>
      <c r="AP84" s="77"/>
      <c r="AQ84" s="88"/>
    </row>
    <row r="85" spans="1:43" ht="18" x14ac:dyDescent="0.4">
      <c r="B85" s="374" t="s">
        <v>216</v>
      </c>
      <c r="C85" s="375"/>
      <c r="D85" s="68" t="s">
        <v>156</v>
      </c>
      <c r="E85" s="68" t="s">
        <v>157</v>
      </c>
      <c r="F85" s="68" t="s">
        <v>158</v>
      </c>
      <c r="G85" s="68" t="s">
        <v>159</v>
      </c>
      <c r="H85" s="177" t="s">
        <v>160</v>
      </c>
      <c r="I85" s="68" t="s">
        <v>147</v>
      </c>
      <c r="J85" s="68" t="s">
        <v>148</v>
      </c>
      <c r="K85" s="68" t="s">
        <v>149</v>
      </c>
      <c r="L85" s="68" t="s">
        <v>150</v>
      </c>
      <c r="M85" s="177" t="s">
        <v>151</v>
      </c>
      <c r="N85" s="68" t="s">
        <v>138</v>
      </c>
      <c r="O85" s="68" t="s">
        <v>137</v>
      </c>
      <c r="P85" s="68" t="s">
        <v>136</v>
      </c>
      <c r="Q85" s="68" t="s">
        <v>135</v>
      </c>
      <c r="R85" s="177" t="s">
        <v>134</v>
      </c>
      <c r="S85" s="66" t="s">
        <v>273</v>
      </c>
      <c r="T85" s="66" t="s">
        <v>274</v>
      </c>
      <c r="U85" s="66" t="s">
        <v>275</v>
      </c>
      <c r="V85" s="66" t="s">
        <v>276</v>
      </c>
      <c r="W85" s="181" t="s">
        <v>277</v>
      </c>
      <c r="X85" s="331"/>
      <c r="Y85" s="331"/>
      <c r="Z85" s="331"/>
      <c r="AA85" s="331"/>
      <c r="AB85" s="332"/>
      <c r="AC85" s="331"/>
      <c r="AD85" s="331"/>
      <c r="AE85" s="331"/>
      <c r="AF85" s="331"/>
      <c r="AG85" s="332"/>
      <c r="AH85" s="331"/>
      <c r="AI85" s="331"/>
      <c r="AJ85" s="331"/>
      <c r="AK85" s="331"/>
      <c r="AL85" s="332"/>
      <c r="AM85" s="331"/>
      <c r="AN85" s="331"/>
      <c r="AO85" s="331"/>
      <c r="AP85" s="331"/>
      <c r="AQ85" s="332"/>
    </row>
    <row r="86" spans="1:43" outlineLevel="1" x14ac:dyDescent="0.25">
      <c r="B86" s="256" t="s">
        <v>182</v>
      </c>
      <c r="C86" s="257"/>
      <c r="D86" s="77"/>
      <c r="E86" s="77"/>
      <c r="F86" s="77"/>
      <c r="G86" s="77"/>
      <c r="H86" s="88"/>
      <c r="I86" s="77">
        <v>34</v>
      </c>
      <c r="J86" s="77">
        <v>47</v>
      </c>
      <c r="K86" s="77">
        <v>47</v>
      </c>
      <c r="L86" s="77">
        <v>50</v>
      </c>
      <c r="M86" s="88"/>
      <c r="N86" s="77">
        <v>56</v>
      </c>
      <c r="O86" s="77">
        <v>74</v>
      </c>
      <c r="P86" s="77">
        <v>72</v>
      </c>
      <c r="Q86" s="193">
        <v>82</v>
      </c>
      <c r="R86" s="88"/>
      <c r="S86" s="120">
        <f>AVERAGE(N86,O86,P86,Q86)</f>
        <v>71</v>
      </c>
      <c r="T86" s="120">
        <f>AVERAGE(O86,P86,Q86,S86)</f>
        <v>74.75</v>
      </c>
      <c r="U86" s="120">
        <f>AVERAGE(P86,Q86,S86,T86)</f>
        <v>74.9375</v>
      </c>
      <c r="V86" s="120">
        <f>AVERAGE(Q86,S86,T86,U86)</f>
        <v>75.671875</v>
      </c>
      <c r="W86" s="88"/>
      <c r="X86" s="77"/>
      <c r="Y86" s="77"/>
      <c r="Z86" s="77"/>
      <c r="AA86" s="77"/>
      <c r="AB86" s="88"/>
      <c r="AC86" s="77"/>
      <c r="AD86" s="77"/>
      <c r="AE86" s="77"/>
      <c r="AF86" s="77"/>
      <c r="AG86" s="88"/>
      <c r="AH86" s="77"/>
      <c r="AI86" s="77"/>
      <c r="AJ86" s="77"/>
      <c r="AK86" s="77"/>
      <c r="AL86" s="88"/>
      <c r="AM86" s="77"/>
      <c r="AN86" s="77"/>
      <c r="AO86" s="77"/>
      <c r="AP86" s="77"/>
      <c r="AQ86" s="88"/>
    </row>
    <row r="87" spans="1:43" s="236" customFormat="1" outlineLevel="1" x14ac:dyDescent="0.25">
      <c r="B87" s="256" t="s">
        <v>219</v>
      </c>
      <c r="C87" s="287"/>
      <c r="D87" s="237"/>
      <c r="E87" s="237"/>
      <c r="F87" s="237"/>
      <c r="G87" s="77"/>
      <c r="H87" s="288"/>
      <c r="I87" s="77">
        <v>670</v>
      </c>
      <c r="J87" s="77">
        <v>787</v>
      </c>
      <c r="K87" s="77">
        <v>776</v>
      </c>
      <c r="L87" s="77">
        <v>587</v>
      </c>
      <c r="M87" s="288"/>
      <c r="N87" s="77">
        <v>718</v>
      </c>
      <c r="O87" s="77">
        <v>881</v>
      </c>
      <c r="P87" s="77">
        <v>748</v>
      </c>
      <c r="Q87" s="193">
        <v>675</v>
      </c>
      <c r="R87" s="238"/>
      <c r="S87" s="120">
        <f t="shared" ref="S87:S89" si="136">AVERAGE(N87,O87,P87,Q87)</f>
        <v>755.5</v>
      </c>
      <c r="T87" s="120">
        <f t="shared" ref="T87:T89" si="137">AVERAGE(O87,P87,Q87,S87)</f>
        <v>764.875</v>
      </c>
      <c r="U87" s="120">
        <f t="shared" ref="U87:U89" si="138">AVERAGE(P87,Q87,S87,T87)</f>
        <v>735.84375</v>
      </c>
      <c r="V87" s="120">
        <f t="shared" ref="V87:V89" si="139">AVERAGE(Q87,S87,T87,U87)</f>
        <v>732.8046875</v>
      </c>
      <c r="W87" s="88"/>
      <c r="X87" s="77"/>
      <c r="Y87" s="77"/>
      <c r="Z87" s="77"/>
      <c r="AA87" s="77"/>
      <c r="AB87" s="88"/>
      <c r="AC87" s="77"/>
      <c r="AD87" s="77"/>
      <c r="AE87" s="77"/>
      <c r="AF87" s="77"/>
      <c r="AG87" s="88"/>
      <c r="AH87" s="77"/>
      <c r="AI87" s="77"/>
      <c r="AJ87" s="77"/>
      <c r="AK87" s="77"/>
      <c r="AL87" s="88"/>
      <c r="AM87" s="77"/>
      <c r="AN87" s="77"/>
      <c r="AO87" s="77"/>
      <c r="AP87" s="77"/>
      <c r="AQ87" s="88"/>
    </row>
    <row r="88" spans="1:43" outlineLevel="1" x14ac:dyDescent="0.25">
      <c r="B88" s="256" t="s">
        <v>218</v>
      </c>
      <c r="C88" s="257"/>
      <c r="D88" s="77"/>
      <c r="E88" s="77"/>
      <c r="F88" s="77"/>
      <c r="G88" s="77"/>
      <c r="H88" s="88"/>
      <c r="I88" s="77">
        <v>96</v>
      </c>
      <c r="J88" s="77">
        <v>120</v>
      </c>
      <c r="K88" s="77">
        <v>114</v>
      </c>
      <c r="L88" s="77">
        <v>106</v>
      </c>
      <c r="M88" s="88"/>
      <c r="N88" s="77">
        <v>109</v>
      </c>
      <c r="O88" s="77">
        <v>139</v>
      </c>
      <c r="P88" s="77">
        <v>133</v>
      </c>
      <c r="Q88" s="193">
        <v>130</v>
      </c>
      <c r="R88" s="88"/>
      <c r="S88" s="120">
        <f t="shared" si="136"/>
        <v>127.75</v>
      </c>
      <c r="T88" s="120">
        <f t="shared" si="137"/>
        <v>132.4375</v>
      </c>
      <c r="U88" s="120">
        <f t="shared" si="138"/>
        <v>130.796875</v>
      </c>
      <c r="V88" s="120">
        <f t="shared" si="139"/>
        <v>130.24609375</v>
      </c>
      <c r="W88" s="88"/>
      <c r="X88" s="77"/>
      <c r="Y88" s="77"/>
      <c r="Z88" s="77"/>
      <c r="AA88" s="77"/>
      <c r="AB88" s="88"/>
      <c r="AC88" s="77"/>
      <c r="AD88" s="77"/>
      <c r="AE88" s="77"/>
      <c r="AF88" s="77"/>
      <c r="AG88" s="88"/>
      <c r="AH88" s="77"/>
      <c r="AI88" s="77"/>
      <c r="AJ88" s="77"/>
      <c r="AK88" s="77"/>
      <c r="AL88" s="88"/>
      <c r="AM88" s="77"/>
      <c r="AN88" s="77"/>
      <c r="AO88" s="77"/>
      <c r="AP88" s="77"/>
      <c r="AQ88" s="88"/>
    </row>
    <row r="89" spans="1:43" outlineLevel="1" x14ac:dyDescent="0.25">
      <c r="B89" s="258" t="s">
        <v>217</v>
      </c>
      <c r="C89" s="259"/>
      <c r="D89" s="136"/>
      <c r="E89" s="136"/>
      <c r="F89" s="136"/>
      <c r="G89" s="136"/>
      <c r="H89" s="137"/>
      <c r="I89" s="136">
        <v>67</v>
      </c>
      <c r="J89" s="136">
        <v>78</v>
      </c>
      <c r="K89" s="136">
        <v>73</v>
      </c>
      <c r="L89" s="136">
        <v>71</v>
      </c>
      <c r="M89" s="137"/>
      <c r="N89" s="136">
        <v>72</v>
      </c>
      <c r="O89" s="136">
        <v>92</v>
      </c>
      <c r="P89" s="136">
        <v>87</v>
      </c>
      <c r="Q89" s="289">
        <v>84</v>
      </c>
      <c r="R89" s="137"/>
      <c r="S89" s="290">
        <f t="shared" si="136"/>
        <v>83.75</v>
      </c>
      <c r="T89" s="155">
        <f t="shared" si="137"/>
        <v>86.6875</v>
      </c>
      <c r="U89" s="155">
        <f t="shared" si="138"/>
        <v>85.359375</v>
      </c>
      <c r="V89" s="291">
        <f t="shared" si="139"/>
        <v>84.94921875</v>
      </c>
      <c r="W89" s="137"/>
      <c r="X89" s="334"/>
      <c r="Y89" s="136"/>
      <c r="Z89" s="136"/>
      <c r="AA89" s="289"/>
      <c r="AB89" s="137"/>
      <c r="AC89" s="334"/>
      <c r="AD89" s="136"/>
      <c r="AE89" s="136"/>
      <c r="AF89" s="289"/>
      <c r="AG89" s="137"/>
      <c r="AH89" s="334"/>
      <c r="AI89" s="136"/>
      <c r="AJ89" s="136"/>
      <c r="AK89" s="289"/>
      <c r="AL89" s="137"/>
      <c r="AM89" s="334"/>
      <c r="AN89" s="136"/>
      <c r="AO89" s="136"/>
      <c r="AP89" s="289"/>
      <c r="AQ89" s="137"/>
    </row>
    <row r="90" spans="1:43" x14ac:dyDescent="0.25">
      <c r="B90" s="35"/>
      <c r="C90" s="35"/>
      <c r="F90" s="3"/>
      <c r="G90" s="3"/>
      <c r="H90" s="3"/>
      <c r="J90" s="43"/>
      <c r="K90" s="43"/>
      <c r="L90" s="43"/>
      <c r="M90" s="192"/>
      <c r="P90" s="3"/>
      <c r="Q90" s="3"/>
      <c r="R90" s="192"/>
      <c r="U90" s="3"/>
      <c r="V90" s="3"/>
      <c r="W90" s="192"/>
      <c r="Z90" s="3"/>
      <c r="AA90" s="3"/>
      <c r="AB90" s="192"/>
      <c r="AE90" s="3"/>
      <c r="AF90" s="3"/>
      <c r="AG90" s="192"/>
      <c r="AJ90" s="3"/>
      <c r="AK90" s="3"/>
      <c r="AL90" s="192"/>
      <c r="AO90" s="3"/>
      <c r="AP90" s="3"/>
      <c r="AQ90" s="192"/>
    </row>
    <row r="91" spans="1:43" ht="15.75" x14ac:dyDescent="0.25">
      <c r="B91" s="374" t="s">
        <v>190</v>
      </c>
      <c r="C91" s="375"/>
      <c r="D91" s="67" t="s">
        <v>152</v>
      </c>
      <c r="E91" s="67" t="s">
        <v>153</v>
      </c>
      <c r="F91" s="67" t="s">
        <v>154</v>
      </c>
      <c r="G91" s="67" t="s">
        <v>155</v>
      </c>
      <c r="H91" s="176" t="s">
        <v>155</v>
      </c>
      <c r="I91" s="67" t="s">
        <v>139</v>
      </c>
      <c r="J91" s="67" t="s">
        <v>144</v>
      </c>
      <c r="K91" s="67" t="s">
        <v>145</v>
      </c>
      <c r="L91" s="67" t="s">
        <v>146</v>
      </c>
      <c r="M91" s="176" t="s">
        <v>146</v>
      </c>
      <c r="N91" s="67" t="s">
        <v>141</v>
      </c>
      <c r="O91" s="67" t="s">
        <v>140</v>
      </c>
      <c r="P91" s="67" t="s">
        <v>142</v>
      </c>
      <c r="Q91" s="67" t="s">
        <v>143</v>
      </c>
      <c r="R91" s="176" t="s">
        <v>143</v>
      </c>
      <c r="S91" s="69" t="s">
        <v>161</v>
      </c>
      <c r="T91" s="69" t="s">
        <v>162</v>
      </c>
      <c r="U91" s="69" t="s">
        <v>163</v>
      </c>
      <c r="V91" s="69" t="s">
        <v>164</v>
      </c>
      <c r="W91" s="180" t="s">
        <v>164</v>
      </c>
      <c r="X91" s="69" t="s">
        <v>165</v>
      </c>
      <c r="Y91" s="69" t="s">
        <v>166</v>
      </c>
      <c r="Z91" s="69" t="s">
        <v>167</v>
      </c>
      <c r="AA91" s="69" t="s">
        <v>168</v>
      </c>
      <c r="AB91" s="180" t="s">
        <v>168</v>
      </c>
      <c r="AC91" s="69" t="s">
        <v>169</v>
      </c>
      <c r="AD91" s="69" t="s">
        <v>170</v>
      </c>
      <c r="AE91" s="69" t="s">
        <v>171</v>
      </c>
      <c r="AF91" s="69" t="s">
        <v>172</v>
      </c>
      <c r="AG91" s="180" t="s">
        <v>172</v>
      </c>
      <c r="AH91" s="69" t="s">
        <v>173</v>
      </c>
      <c r="AI91" s="69" t="s">
        <v>174</v>
      </c>
      <c r="AJ91" s="69" t="s">
        <v>175</v>
      </c>
      <c r="AK91" s="69" t="s">
        <v>176</v>
      </c>
      <c r="AL91" s="180" t="s">
        <v>176</v>
      </c>
      <c r="AM91" s="69" t="s">
        <v>177</v>
      </c>
      <c r="AN91" s="69" t="s">
        <v>178</v>
      </c>
      <c r="AO91" s="69" t="s">
        <v>179</v>
      </c>
      <c r="AP91" s="69" t="s">
        <v>180</v>
      </c>
      <c r="AQ91" s="180" t="s">
        <v>180</v>
      </c>
    </row>
    <row r="92" spans="1:43" ht="17.25" x14ac:dyDescent="0.4">
      <c r="B92" s="145" t="s">
        <v>3</v>
      </c>
      <c r="C92" s="182"/>
      <c r="D92" s="68" t="s">
        <v>156</v>
      </c>
      <c r="E92" s="68" t="s">
        <v>157</v>
      </c>
      <c r="F92" s="68" t="s">
        <v>158</v>
      </c>
      <c r="G92" s="68" t="s">
        <v>159</v>
      </c>
      <c r="H92" s="177" t="s">
        <v>160</v>
      </c>
      <c r="I92" s="68" t="s">
        <v>147</v>
      </c>
      <c r="J92" s="68" t="s">
        <v>148</v>
      </c>
      <c r="K92" s="68" t="s">
        <v>149</v>
      </c>
      <c r="L92" s="68" t="s">
        <v>150</v>
      </c>
      <c r="M92" s="177" t="s">
        <v>151</v>
      </c>
      <c r="N92" s="68" t="s">
        <v>138</v>
      </c>
      <c r="O92" s="68" t="s">
        <v>137</v>
      </c>
      <c r="P92" s="68" t="s">
        <v>136</v>
      </c>
      <c r="Q92" s="68" t="s">
        <v>135</v>
      </c>
      <c r="R92" s="177" t="s">
        <v>134</v>
      </c>
      <c r="S92" s="66" t="s">
        <v>273</v>
      </c>
      <c r="T92" s="66" t="s">
        <v>274</v>
      </c>
      <c r="U92" s="66" t="s">
        <v>275</v>
      </c>
      <c r="V92" s="66" t="s">
        <v>276</v>
      </c>
      <c r="W92" s="181" t="s">
        <v>277</v>
      </c>
      <c r="X92" s="66" t="s">
        <v>278</v>
      </c>
      <c r="Y92" s="66" t="s">
        <v>279</v>
      </c>
      <c r="Z92" s="66" t="s">
        <v>280</v>
      </c>
      <c r="AA92" s="66" t="s">
        <v>281</v>
      </c>
      <c r="AB92" s="181" t="s">
        <v>282</v>
      </c>
      <c r="AC92" s="66" t="s">
        <v>283</v>
      </c>
      <c r="AD92" s="66" t="s">
        <v>284</v>
      </c>
      <c r="AE92" s="66" t="s">
        <v>285</v>
      </c>
      <c r="AF92" s="66" t="s">
        <v>286</v>
      </c>
      <c r="AG92" s="181" t="s">
        <v>287</v>
      </c>
      <c r="AH92" s="66" t="s">
        <v>288</v>
      </c>
      <c r="AI92" s="66" t="s">
        <v>289</v>
      </c>
      <c r="AJ92" s="66" t="s">
        <v>290</v>
      </c>
      <c r="AK92" s="66" t="s">
        <v>291</v>
      </c>
      <c r="AL92" s="181" t="s">
        <v>292</v>
      </c>
      <c r="AM92" s="66" t="s">
        <v>293</v>
      </c>
      <c r="AN92" s="66" t="s">
        <v>294</v>
      </c>
      <c r="AO92" s="66" t="s">
        <v>295</v>
      </c>
      <c r="AP92" s="66" t="s">
        <v>296</v>
      </c>
      <c r="AQ92" s="181" t="s">
        <v>297</v>
      </c>
    </row>
    <row r="93" spans="1:43" ht="14.45" customHeight="1" x14ac:dyDescent="0.25">
      <c r="B93" s="374" t="s">
        <v>6</v>
      </c>
      <c r="C93" s="375"/>
      <c r="D93" s="67"/>
      <c r="E93" s="67"/>
      <c r="F93" s="67"/>
      <c r="G93" s="67"/>
      <c r="H93" s="176"/>
      <c r="I93" s="67"/>
      <c r="J93" s="67"/>
      <c r="K93" s="67"/>
      <c r="L93" s="67"/>
      <c r="M93" s="176"/>
      <c r="N93" s="67"/>
      <c r="O93" s="67"/>
      <c r="P93" s="67"/>
      <c r="Q93" s="67"/>
      <c r="R93" s="176"/>
      <c r="S93" s="69"/>
      <c r="T93" s="69"/>
      <c r="U93" s="69"/>
      <c r="V93" s="69"/>
      <c r="W93" s="180"/>
      <c r="X93" s="69"/>
      <c r="Y93" s="69"/>
      <c r="Z93" s="69"/>
      <c r="AA93" s="69"/>
      <c r="AB93" s="180"/>
      <c r="AC93" s="69"/>
      <c r="AD93" s="69"/>
      <c r="AE93" s="69"/>
      <c r="AF93" s="69"/>
      <c r="AG93" s="180"/>
      <c r="AH93" s="69"/>
      <c r="AI93" s="69"/>
      <c r="AJ93" s="69"/>
      <c r="AK93" s="69"/>
      <c r="AL93" s="180"/>
      <c r="AM93" s="69"/>
      <c r="AN93" s="69"/>
      <c r="AO93" s="69"/>
      <c r="AP93" s="69"/>
      <c r="AQ93" s="180"/>
    </row>
    <row r="94" spans="1:43" ht="14.45" customHeight="1" outlineLevel="1" x14ac:dyDescent="0.25">
      <c r="B94" s="358" t="s">
        <v>41</v>
      </c>
      <c r="C94" s="359"/>
      <c r="D94" s="77">
        <f>D170</f>
        <v>6456</v>
      </c>
      <c r="E94" s="77">
        <f>E170</f>
        <v>5108</v>
      </c>
      <c r="F94" s="77">
        <f>F170</f>
        <v>6038</v>
      </c>
      <c r="G94" s="70">
        <f>G170</f>
        <v>8903</v>
      </c>
      <c r="H94" s="71">
        <f>G94</f>
        <v>8903</v>
      </c>
      <c r="I94" s="70">
        <f>I170</f>
        <v>7104</v>
      </c>
      <c r="J94" s="77">
        <f>J170</f>
        <v>6252</v>
      </c>
      <c r="K94" s="77">
        <f>K170</f>
        <v>7201</v>
      </c>
      <c r="L94" s="70">
        <f>L170</f>
        <v>8079</v>
      </c>
      <c r="M94" s="71">
        <f>L94</f>
        <v>8079</v>
      </c>
      <c r="N94" s="77">
        <f>N170</f>
        <v>12082</v>
      </c>
      <c r="O94" s="77">
        <f>O170</f>
        <v>11552</v>
      </c>
      <c r="P94" s="77">
        <f>P170</f>
        <v>9637</v>
      </c>
      <c r="Q94" s="70">
        <f>Q170</f>
        <v>10019</v>
      </c>
      <c r="R94" s="71">
        <f>Q94</f>
        <v>10019</v>
      </c>
      <c r="S94" s="77"/>
      <c r="T94" s="77"/>
      <c r="U94" s="77"/>
      <c r="V94" s="77"/>
      <c r="W94" s="88"/>
      <c r="X94" s="77"/>
      <c r="Y94" s="77"/>
      <c r="Z94" s="77"/>
      <c r="AA94" s="77"/>
      <c r="AB94" s="88"/>
      <c r="AC94" s="77"/>
      <c r="AD94" s="77"/>
      <c r="AE94" s="77"/>
      <c r="AF94" s="77"/>
      <c r="AG94" s="88"/>
      <c r="AH94" s="77"/>
      <c r="AI94" s="77"/>
      <c r="AJ94" s="77"/>
      <c r="AK94" s="77"/>
      <c r="AL94" s="88"/>
      <c r="AM94" s="77"/>
      <c r="AN94" s="77"/>
      <c r="AO94" s="77"/>
      <c r="AP94" s="77"/>
      <c r="AQ94" s="88"/>
    </row>
    <row r="95" spans="1:43" ht="14.45" customHeight="1" outlineLevel="1" x14ac:dyDescent="0.25">
      <c r="B95" s="256" t="s">
        <v>243</v>
      </c>
      <c r="C95" s="257"/>
      <c r="D95" s="77">
        <v>14165</v>
      </c>
      <c r="E95" s="77">
        <v>18185</v>
      </c>
      <c r="F95" s="77">
        <v>20102</v>
      </c>
      <c r="G95" s="70">
        <v>20546</v>
      </c>
      <c r="H95" s="71">
        <f>+G95</f>
        <v>20546</v>
      </c>
      <c r="I95" s="195">
        <v>25202</v>
      </c>
      <c r="J95" s="195">
        <v>29200</v>
      </c>
      <c r="K95" s="195">
        <v>31088</v>
      </c>
      <c r="L95" s="195">
        <v>33632</v>
      </c>
      <c r="M95" s="71">
        <f>+L95</f>
        <v>33632</v>
      </c>
      <c r="N95" s="195">
        <v>31874</v>
      </c>
      <c r="O95" s="195">
        <v>30757</v>
      </c>
      <c r="P95" s="195">
        <v>31569</v>
      </c>
      <c r="Q95" s="195">
        <v>31095</v>
      </c>
      <c r="R95" s="71">
        <f>+Q95</f>
        <v>31095</v>
      </c>
      <c r="S95" s="77"/>
      <c r="T95" s="77"/>
      <c r="U95" s="77"/>
      <c r="V95" s="77"/>
      <c r="W95" s="88"/>
      <c r="X95" s="77"/>
      <c r="Y95" s="77"/>
      <c r="Z95" s="77"/>
      <c r="AA95" s="77"/>
      <c r="AB95" s="88"/>
      <c r="AC95" s="77"/>
      <c r="AD95" s="77"/>
      <c r="AE95" s="77"/>
      <c r="AF95" s="77"/>
      <c r="AG95" s="88"/>
      <c r="AH95" s="77"/>
      <c r="AI95" s="77"/>
      <c r="AJ95" s="77"/>
      <c r="AK95" s="77"/>
      <c r="AL95" s="88"/>
      <c r="AM95" s="77"/>
      <c r="AN95" s="77"/>
      <c r="AO95" s="77"/>
      <c r="AP95" s="77"/>
      <c r="AQ95" s="88"/>
    </row>
    <row r="96" spans="1:43" s="87" customFormat="1" ht="14.45" customHeight="1" outlineLevel="1" x14ac:dyDescent="0.25">
      <c r="A96" s="112"/>
      <c r="B96" s="358" t="s">
        <v>225</v>
      </c>
      <c r="C96" s="359"/>
      <c r="D96" s="77">
        <v>2348</v>
      </c>
      <c r="E96" s="70">
        <v>2801</v>
      </c>
      <c r="F96" s="70">
        <v>3070</v>
      </c>
      <c r="G96" s="70">
        <v>3993</v>
      </c>
      <c r="H96" s="71">
        <f>G96</f>
        <v>3993</v>
      </c>
      <c r="I96" s="195">
        <v>3415</v>
      </c>
      <c r="J96" s="195">
        <v>3897</v>
      </c>
      <c r="K96" s="195">
        <v>4424</v>
      </c>
      <c r="L96" s="195">
        <v>5832</v>
      </c>
      <c r="M96" s="71">
        <f>L96</f>
        <v>5832</v>
      </c>
      <c r="N96" s="195">
        <v>5115</v>
      </c>
      <c r="O96" s="195">
        <v>5590</v>
      </c>
      <c r="P96" s="195">
        <v>6058</v>
      </c>
      <c r="Q96" s="195">
        <v>7587</v>
      </c>
      <c r="R96" s="71">
        <f>Q96</f>
        <v>7587</v>
      </c>
      <c r="S96" s="77"/>
      <c r="T96" s="77"/>
      <c r="U96" s="77"/>
      <c r="V96" s="77"/>
      <c r="W96" s="88"/>
      <c r="X96" s="77"/>
      <c r="Y96" s="77"/>
      <c r="Z96" s="77"/>
      <c r="AA96" s="77"/>
      <c r="AB96" s="88"/>
      <c r="AC96" s="77"/>
      <c r="AD96" s="77"/>
      <c r="AE96" s="77"/>
      <c r="AF96" s="77"/>
      <c r="AG96" s="88"/>
      <c r="AH96" s="77"/>
      <c r="AI96" s="77"/>
      <c r="AJ96" s="77"/>
      <c r="AK96" s="77"/>
      <c r="AL96" s="88"/>
      <c r="AM96" s="77"/>
      <c r="AN96" s="77"/>
      <c r="AO96" s="77"/>
      <c r="AP96" s="77"/>
      <c r="AQ96" s="88"/>
    </row>
    <row r="97" spans="2:43" ht="16.149999999999999" customHeight="1" outlineLevel="1" x14ac:dyDescent="0.4">
      <c r="B97" s="358" t="s">
        <v>90</v>
      </c>
      <c r="C97" s="359"/>
      <c r="D97" s="78">
        <v>843</v>
      </c>
      <c r="E97" s="78">
        <v>916</v>
      </c>
      <c r="F97" s="78">
        <v>1118</v>
      </c>
      <c r="G97" s="78">
        <v>959</v>
      </c>
      <c r="H97" s="76">
        <f>G97</f>
        <v>959</v>
      </c>
      <c r="I97" s="285">
        <v>1209</v>
      </c>
      <c r="J97" s="285">
        <v>1455</v>
      </c>
      <c r="K97" s="285">
        <v>1490</v>
      </c>
      <c r="L97" s="285">
        <v>1020</v>
      </c>
      <c r="M97" s="76">
        <f>L97</f>
        <v>1020</v>
      </c>
      <c r="N97" s="285">
        <v>1341</v>
      </c>
      <c r="O97" s="285">
        <v>1934</v>
      </c>
      <c r="P97" s="285">
        <v>1883</v>
      </c>
      <c r="Q97" s="285">
        <v>1779</v>
      </c>
      <c r="R97" s="76">
        <f>Q97</f>
        <v>1779</v>
      </c>
      <c r="S97" s="78"/>
      <c r="T97" s="78"/>
      <c r="U97" s="78"/>
      <c r="V97" s="78"/>
      <c r="W97" s="96"/>
      <c r="X97" s="78"/>
      <c r="Y97" s="78"/>
      <c r="Z97" s="78"/>
      <c r="AA97" s="78"/>
      <c r="AB97" s="96"/>
      <c r="AC97" s="78"/>
      <c r="AD97" s="78"/>
      <c r="AE97" s="78"/>
      <c r="AF97" s="78"/>
      <c r="AG97" s="96"/>
      <c r="AH97" s="78"/>
      <c r="AI97" s="78"/>
      <c r="AJ97" s="78"/>
      <c r="AK97" s="78"/>
      <c r="AL97" s="96"/>
      <c r="AM97" s="78"/>
      <c r="AN97" s="78"/>
      <c r="AO97" s="78"/>
      <c r="AP97" s="78"/>
      <c r="AQ97" s="96"/>
    </row>
    <row r="98" spans="2:43" ht="14.45" customHeight="1" outlineLevel="1" x14ac:dyDescent="0.25">
      <c r="B98" s="141" t="s">
        <v>4</v>
      </c>
      <c r="C98" s="142"/>
      <c r="D98" s="85">
        <f t="shared" ref="D98:R98" si="140">SUM(D94:D97)</f>
        <v>23812</v>
      </c>
      <c r="E98" s="83">
        <f t="shared" si="140"/>
        <v>27010</v>
      </c>
      <c r="F98" s="85">
        <f t="shared" si="140"/>
        <v>30328</v>
      </c>
      <c r="G98" s="85">
        <f t="shared" si="140"/>
        <v>34401</v>
      </c>
      <c r="H98" s="84">
        <f t="shared" si="140"/>
        <v>34401</v>
      </c>
      <c r="I98" s="83">
        <f t="shared" si="140"/>
        <v>36930</v>
      </c>
      <c r="J98" s="85">
        <f t="shared" si="140"/>
        <v>40804</v>
      </c>
      <c r="K98" s="85">
        <f t="shared" si="140"/>
        <v>44203</v>
      </c>
      <c r="L98" s="85">
        <f t="shared" si="140"/>
        <v>48563</v>
      </c>
      <c r="M98" s="84">
        <f t="shared" si="140"/>
        <v>48563</v>
      </c>
      <c r="N98" s="85">
        <f t="shared" si="140"/>
        <v>50412</v>
      </c>
      <c r="O98" s="83">
        <f t="shared" si="140"/>
        <v>49833</v>
      </c>
      <c r="P98" s="83">
        <f t="shared" si="140"/>
        <v>49147</v>
      </c>
      <c r="Q98" s="85">
        <f t="shared" si="140"/>
        <v>50480</v>
      </c>
      <c r="R98" s="84">
        <f t="shared" si="140"/>
        <v>50480</v>
      </c>
      <c r="S98" s="85"/>
      <c r="T98" s="85"/>
      <c r="U98" s="85"/>
      <c r="V98" s="85"/>
      <c r="W98" s="86"/>
      <c r="X98" s="85"/>
      <c r="Y98" s="85"/>
      <c r="Z98" s="85"/>
      <c r="AA98" s="85"/>
      <c r="AB98" s="86"/>
      <c r="AC98" s="85"/>
      <c r="AD98" s="85"/>
      <c r="AE98" s="85"/>
      <c r="AF98" s="85"/>
      <c r="AG98" s="86"/>
      <c r="AH98" s="85"/>
      <c r="AI98" s="85"/>
      <c r="AJ98" s="85"/>
      <c r="AK98" s="85"/>
      <c r="AL98" s="86"/>
      <c r="AM98" s="85"/>
      <c r="AN98" s="85"/>
      <c r="AO98" s="85"/>
      <c r="AP98" s="85"/>
      <c r="AQ98" s="86"/>
    </row>
    <row r="99" spans="2:43" s="38" customFormat="1" outlineLevel="1" x14ac:dyDescent="0.25">
      <c r="B99" s="256" t="s">
        <v>244</v>
      </c>
      <c r="C99" s="264"/>
      <c r="D99" s="77">
        <v>6467</v>
      </c>
      <c r="E99" s="77">
        <v>7104</v>
      </c>
      <c r="F99" s="77">
        <v>7899</v>
      </c>
      <c r="G99" s="77">
        <v>8591</v>
      </c>
      <c r="H99" s="71">
        <f>+G99</f>
        <v>8591</v>
      </c>
      <c r="I99" s="195">
        <v>9462</v>
      </c>
      <c r="J99" s="195">
        <v>10628</v>
      </c>
      <c r="K99" s="195">
        <v>12158</v>
      </c>
      <c r="L99" s="195">
        <v>13721</v>
      </c>
      <c r="M99" s="71">
        <f>+L99</f>
        <v>13721</v>
      </c>
      <c r="N99" s="195">
        <v>16211</v>
      </c>
      <c r="O99" s="195">
        <v>18357</v>
      </c>
      <c r="P99" s="195">
        <v>21112</v>
      </c>
      <c r="Q99" s="195">
        <v>24683</v>
      </c>
      <c r="R99" s="71">
        <f>+Q99</f>
        <v>24683</v>
      </c>
      <c r="S99" s="77"/>
      <c r="T99" s="77"/>
      <c r="U99" s="77"/>
      <c r="V99" s="77"/>
      <c r="W99" s="88"/>
      <c r="X99" s="77"/>
      <c r="Y99" s="77"/>
      <c r="Z99" s="77"/>
      <c r="AA99" s="77"/>
      <c r="AB99" s="88"/>
      <c r="AC99" s="77"/>
      <c r="AD99" s="77"/>
      <c r="AE99" s="77"/>
      <c r="AF99" s="77"/>
      <c r="AG99" s="88"/>
      <c r="AH99" s="77"/>
      <c r="AI99" s="77"/>
      <c r="AJ99" s="77"/>
      <c r="AK99" s="77"/>
      <c r="AL99" s="88"/>
      <c r="AM99" s="77"/>
      <c r="AN99" s="77"/>
      <c r="AO99" s="77"/>
      <c r="AP99" s="77"/>
      <c r="AQ99" s="88"/>
    </row>
    <row r="100" spans="2:43" s="38" customFormat="1" outlineLevel="1" x14ac:dyDescent="0.25">
      <c r="B100" s="256" t="s">
        <v>245</v>
      </c>
      <c r="C100" s="264"/>
      <c r="D100" s="77">
        <v>3067</v>
      </c>
      <c r="E100" s="77">
        <v>2879</v>
      </c>
      <c r="F100" s="77">
        <v>2702</v>
      </c>
      <c r="G100" s="77">
        <v>2535</v>
      </c>
      <c r="H100" s="71">
        <f>+G100</f>
        <v>2535</v>
      </c>
      <c r="I100" s="195">
        <v>2360</v>
      </c>
      <c r="J100" s="195">
        <v>2186</v>
      </c>
      <c r="K100" s="195">
        <v>2050</v>
      </c>
      <c r="L100" s="195">
        <v>1884</v>
      </c>
      <c r="M100" s="71">
        <f>+L100</f>
        <v>1884</v>
      </c>
      <c r="N100" s="195">
        <v>1735</v>
      </c>
      <c r="O100" s="195">
        <v>1573</v>
      </c>
      <c r="P100" s="195">
        <v>1451</v>
      </c>
      <c r="Q100" s="195">
        <v>1294</v>
      </c>
      <c r="R100" s="71">
        <f>+Q100</f>
        <v>1294</v>
      </c>
      <c r="S100" s="77"/>
      <c r="T100" s="77"/>
      <c r="U100" s="77"/>
      <c r="V100" s="77"/>
      <c r="W100" s="88"/>
      <c r="X100" s="77"/>
      <c r="Y100" s="77"/>
      <c r="Z100" s="77"/>
      <c r="AA100" s="77"/>
      <c r="AB100" s="88"/>
      <c r="AC100" s="77"/>
      <c r="AD100" s="77"/>
      <c r="AE100" s="77"/>
      <c r="AF100" s="77"/>
      <c r="AG100" s="88"/>
      <c r="AH100" s="77"/>
      <c r="AI100" s="77"/>
      <c r="AJ100" s="77"/>
      <c r="AK100" s="77"/>
      <c r="AL100" s="88"/>
      <c r="AM100" s="77"/>
      <c r="AN100" s="77"/>
      <c r="AO100" s="77"/>
      <c r="AP100" s="77"/>
      <c r="AQ100" s="88"/>
    </row>
    <row r="101" spans="2:43" outlineLevel="1" x14ac:dyDescent="0.25">
      <c r="B101" s="358" t="s">
        <v>42</v>
      </c>
      <c r="C101" s="359"/>
      <c r="D101" s="77">
        <v>18029</v>
      </c>
      <c r="E101" s="77">
        <v>18043</v>
      </c>
      <c r="F101" s="77">
        <v>18085</v>
      </c>
      <c r="G101" s="77">
        <v>18122</v>
      </c>
      <c r="H101" s="71">
        <f>G101</f>
        <v>18122</v>
      </c>
      <c r="I101" s="195">
        <v>18126</v>
      </c>
      <c r="J101" s="195">
        <v>18129</v>
      </c>
      <c r="K101" s="195">
        <v>18213</v>
      </c>
      <c r="L101" s="195">
        <v>18221</v>
      </c>
      <c r="M101" s="71">
        <f>L101</f>
        <v>18221</v>
      </c>
      <c r="N101" s="195">
        <v>18268</v>
      </c>
      <c r="O101" s="195">
        <v>18263</v>
      </c>
      <c r="P101" s="195">
        <v>18304</v>
      </c>
      <c r="Q101" s="195">
        <v>18301</v>
      </c>
      <c r="R101" s="71">
        <f>+Q101</f>
        <v>18301</v>
      </c>
      <c r="S101" s="77"/>
      <c r="T101" s="77"/>
      <c r="U101" s="77"/>
      <c r="V101" s="77"/>
      <c r="W101" s="88"/>
      <c r="X101" s="77"/>
      <c r="Y101" s="77"/>
      <c r="Z101" s="77"/>
      <c r="AA101" s="77"/>
      <c r="AB101" s="88"/>
      <c r="AC101" s="77"/>
      <c r="AD101" s="77"/>
      <c r="AE101" s="77"/>
      <c r="AF101" s="77"/>
      <c r="AG101" s="88"/>
      <c r="AH101" s="77"/>
      <c r="AI101" s="77"/>
      <c r="AJ101" s="77"/>
      <c r="AK101" s="77"/>
      <c r="AL101" s="88"/>
      <c r="AM101" s="77"/>
      <c r="AN101" s="77"/>
      <c r="AO101" s="77"/>
      <c r="AP101" s="77"/>
      <c r="AQ101" s="88"/>
    </row>
    <row r="102" spans="2:43" ht="17.25" outlineLevel="1" x14ac:dyDescent="0.4">
      <c r="B102" s="358" t="s">
        <v>85</v>
      </c>
      <c r="C102" s="359"/>
      <c r="D102" s="78">
        <v>886.5</v>
      </c>
      <c r="E102" s="78">
        <v>931.99999999999955</v>
      </c>
      <c r="F102" s="78">
        <v>992.99999999999955</v>
      </c>
      <c r="G102" s="78">
        <v>1312</v>
      </c>
      <c r="H102" s="76">
        <f>G102</f>
        <v>1312</v>
      </c>
      <c r="I102" s="285">
        <v>1836</v>
      </c>
      <c r="J102" s="285">
        <v>2096</v>
      </c>
      <c r="K102" s="285">
        <v>2374</v>
      </c>
      <c r="L102" s="285">
        <v>2135</v>
      </c>
      <c r="M102" s="76">
        <f>L102</f>
        <v>2135</v>
      </c>
      <c r="N102" s="285">
        <v>2319</v>
      </c>
      <c r="O102" s="285">
        <v>2265</v>
      </c>
      <c r="P102" s="285">
        <v>2438</v>
      </c>
      <c r="Q102" s="285">
        <v>2576</v>
      </c>
      <c r="R102" s="76">
        <f>Q102</f>
        <v>2576</v>
      </c>
      <c r="S102" s="78"/>
      <c r="T102" s="362" t="s">
        <v>302</v>
      </c>
      <c r="U102" s="363"/>
      <c r="V102" s="78"/>
      <c r="W102" s="96"/>
      <c r="X102" s="78"/>
      <c r="Y102" s="362" t="s">
        <v>302</v>
      </c>
      <c r="Z102" s="363"/>
      <c r="AA102" s="80"/>
      <c r="AB102" s="81"/>
      <c r="AC102" s="80"/>
      <c r="AD102" s="362" t="s">
        <v>302</v>
      </c>
      <c r="AE102" s="363"/>
      <c r="AF102" s="80"/>
      <c r="AG102" s="81"/>
      <c r="AH102" s="80"/>
      <c r="AI102" s="362" t="s">
        <v>302</v>
      </c>
      <c r="AJ102" s="363"/>
      <c r="AK102" s="80"/>
      <c r="AL102" s="81"/>
      <c r="AM102" s="80"/>
      <c r="AN102" s="362" t="s">
        <v>302</v>
      </c>
      <c r="AO102" s="363"/>
      <c r="AP102" s="78"/>
      <c r="AQ102" s="96"/>
    </row>
    <row r="103" spans="2:43" outlineLevel="1" x14ac:dyDescent="0.25">
      <c r="B103" s="376" t="s">
        <v>5</v>
      </c>
      <c r="C103" s="377"/>
      <c r="D103" s="85">
        <f t="shared" ref="D103:H103" si="141">+SUM(D98:D102)</f>
        <v>52261.5</v>
      </c>
      <c r="E103" s="83">
        <f t="shared" si="141"/>
        <v>55968</v>
      </c>
      <c r="F103" s="85">
        <f t="shared" si="141"/>
        <v>60007</v>
      </c>
      <c r="G103" s="85">
        <f t="shared" si="141"/>
        <v>64961</v>
      </c>
      <c r="H103" s="84">
        <f t="shared" si="141"/>
        <v>64961</v>
      </c>
      <c r="I103" s="83">
        <f>+SUM(I98:I102)</f>
        <v>68714</v>
      </c>
      <c r="J103" s="85">
        <f t="shared" ref="J103:R103" si="142">+SUM(J98:J102)</f>
        <v>73843</v>
      </c>
      <c r="K103" s="85">
        <f t="shared" si="142"/>
        <v>78998</v>
      </c>
      <c r="L103" s="85">
        <f t="shared" si="142"/>
        <v>84524</v>
      </c>
      <c r="M103" s="84">
        <f t="shared" si="142"/>
        <v>84524</v>
      </c>
      <c r="N103" s="85">
        <f t="shared" si="142"/>
        <v>88945</v>
      </c>
      <c r="O103" s="83">
        <f t="shared" si="142"/>
        <v>90291</v>
      </c>
      <c r="P103" s="83">
        <f t="shared" si="142"/>
        <v>92452</v>
      </c>
      <c r="Q103" s="83">
        <f t="shared" si="142"/>
        <v>97334</v>
      </c>
      <c r="R103" s="84">
        <f t="shared" si="142"/>
        <v>97334</v>
      </c>
      <c r="S103" s="85"/>
      <c r="T103" s="364"/>
      <c r="U103" s="365"/>
      <c r="V103" s="85"/>
      <c r="W103" s="86"/>
      <c r="X103" s="85"/>
      <c r="Y103" s="364"/>
      <c r="Z103" s="365"/>
      <c r="AA103" s="85"/>
      <c r="AB103" s="86"/>
      <c r="AC103" s="85"/>
      <c r="AD103" s="364"/>
      <c r="AE103" s="365"/>
      <c r="AF103" s="85"/>
      <c r="AG103" s="86"/>
      <c r="AH103" s="85"/>
      <c r="AI103" s="364"/>
      <c r="AJ103" s="365"/>
      <c r="AK103" s="85"/>
      <c r="AL103" s="86"/>
      <c r="AM103" s="85"/>
      <c r="AN103" s="364"/>
      <c r="AO103" s="365"/>
      <c r="AP103" s="85"/>
      <c r="AQ103" s="86"/>
    </row>
    <row r="104" spans="2:43" ht="18" x14ac:dyDescent="0.4">
      <c r="B104" s="374" t="s">
        <v>7</v>
      </c>
      <c r="C104" s="375"/>
      <c r="D104" s="68" t="s">
        <v>156</v>
      </c>
      <c r="E104" s="68" t="s">
        <v>157</v>
      </c>
      <c r="F104" s="68" t="s">
        <v>158</v>
      </c>
      <c r="G104" s="68" t="s">
        <v>159</v>
      </c>
      <c r="H104" s="177" t="s">
        <v>160</v>
      </c>
      <c r="I104" s="68" t="s">
        <v>147</v>
      </c>
      <c r="J104" s="68" t="s">
        <v>148</v>
      </c>
      <c r="K104" s="68" t="s">
        <v>149</v>
      </c>
      <c r="L104" s="68" t="s">
        <v>150</v>
      </c>
      <c r="M104" s="177" t="s">
        <v>151</v>
      </c>
      <c r="N104" s="68" t="s">
        <v>138</v>
      </c>
      <c r="O104" s="68" t="s">
        <v>137</v>
      </c>
      <c r="P104" s="68" t="s">
        <v>136</v>
      </c>
      <c r="Q104" s="68" t="s">
        <v>135</v>
      </c>
      <c r="R104" s="177" t="s">
        <v>134</v>
      </c>
      <c r="S104" s="331"/>
      <c r="T104" s="364"/>
      <c r="U104" s="365"/>
      <c r="V104" s="331"/>
      <c r="W104" s="332"/>
      <c r="X104" s="331"/>
      <c r="Y104" s="364"/>
      <c r="Z104" s="365"/>
      <c r="AA104" s="78"/>
      <c r="AB104" s="96"/>
      <c r="AC104" s="78"/>
      <c r="AD104" s="364"/>
      <c r="AE104" s="365"/>
      <c r="AF104" s="78"/>
      <c r="AG104" s="96"/>
      <c r="AH104" s="78"/>
      <c r="AI104" s="364"/>
      <c r="AJ104" s="365"/>
      <c r="AK104" s="78"/>
      <c r="AL104" s="96"/>
      <c r="AM104" s="78"/>
      <c r="AN104" s="364"/>
      <c r="AO104" s="365"/>
      <c r="AP104" s="331"/>
      <c r="AQ104" s="332"/>
    </row>
    <row r="105" spans="2:43" s="87" customFormat="1" outlineLevel="1" x14ac:dyDescent="0.25">
      <c r="B105" s="370" t="s">
        <v>43</v>
      </c>
      <c r="C105" s="371"/>
      <c r="D105" s="164">
        <v>149</v>
      </c>
      <c r="E105" s="164">
        <v>130</v>
      </c>
      <c r="F105" s="164">
        <v>260</v>
      </c>
      <c r="G105" s="164">
        <v>302</v>
      </c>
      <c r="H105" s="165">
        <f>G105</f>
        <v>302</v>
      </c>
      <c r="I105" s="164">
        <v>170</v>
      </c>
      <c r="J105" s="164">
        <v>323</v>
      </c>
      <c r="K105" s="164">
        <v>383</v>
      </c>
      <c r="L105" s="164">
        <v>380</v>
      </c>
      <c r="M105" s="165">
        <f>L105</f>
        <v>380</v>
      </c>
      <c r="N105" s="164">
        <v>593</v>
      </c>
      <c r="O105" s="164">
        <v>419</v>
      </c>
      <c r="P105" s="164">
        <v>590</v>
      </c>
      <c r="Q105" s="164">
        <v>820</v>
      </c>
      <c r="R105" s="165">
        <f>Q105</f>
        <v>820</v>
      </c>
      <c r="S105" s="77"/>
      <c r="T105" s="366"/>
      <c r="U105" s="367"/>
      <c r="V105" s="77"/>
      <c r="W105" s="88"/>
      <c r="X105" s="77"/>
      <c r="Y105" s="366"/>
      <c r="Z105" s="367"/>
      <c r="AA105" s="85"/>
      <c r="AB105" s="86"/>
      <c r="AC105" s="85"/>
      <c r="AD105" s="366"/>
      <c r="AE105" s="367"/>
      <c r="AF105" s="85"/>
      <c r="AG105" s="86"/>
      <c r="AH105" s="85"/>
      <c r="AI105" s="366"/>
      <c r="AJ105" s="367"/>
      <c r="AK105" s="85"/>
      <c r="AL105" s="86"/>
      <c r="AM105" s="85"/>
      <c r="AN105" s="366"/>
      <c r="AO105" s="367"/>
      <c r="AP105" s="77"/>
      <c r="AQ105" s="88"/>
    </row>
    <row r="106" spans="2:43" s="87" customFormat="1" outlineLevel="1" x14ac:dyDescent="0.25">
      <c r="B106" s="370" t="s">
        <v>246</v>
      </c>
      <c r="C106" s="371"/>
      <c r="D106" s="164">
        <v>216</v>
      </c>
      <c r="E106" s="164">
        <v>232</v>
      </c>
      <c r="F106" s="164">
        <v>239</v>
      </c>
      <c r="G106" s="164">
        <v>280</v>
      </c>
      <c r="H106" s="165">
        <f>+G106</f>
        <v>280</v>
      </c>
      <c r="I106" s="164">
        <v>278</v>
      </c>
      <c r="J106" s="164">
        <v>278</v>
      </c>
      <c r="K106" s="164">
        <v>314</v>
      </c>
      <c r="L106" s="164">
        <v>390</v>
      </c>
      <c r="M106" s="165">
        <f>+L106</f>
        <v>390</v>
      </c>
      <c r="N106" s="164">
        <v>396</v>
      </c>
      <c r="O106" s="164">
        <v>440</v>
      </c>
      <c r="P106" s="164">
        <v>502</v>
      </c>
      <c r="Q106" s="164">
        <v>541</v>
      </c>
      <c r="R106" s="165">
        <f>+Q106</f>
        <v>541</v>
      </c>
      <c r="S106" s="77"/>
      <c r="T106" s="77"/>
      <c r="U106" s="77"/>
      <c r="V106" s="77"/>
      <c r="W106" s="88"/>
      <c r="X106" s="77"/>
      <c r="Y106" s="77"/>
      <c r="Z106" s="77"/>
      <c r="AA106" s="77"/>
      <c r="AB106" s="88"/>
      <c r="AC106" s="77"/>
      <c r="AD106" s="77"/>
      <c r="AE106" s="77"/>
      <c r="AF106" s="77"/>
      <c r="AG106" s="88"/>
      <c r="AH106" s="77"/>
      <c r="AI106" s="77"/>
      <c r="AJ106" s="77"/>
      <c r="AK106" s="77"/>
      <c r="AL106" s="88"/>
      <c r="AM106" s="77"/>
      <c r="AN106" s="77"/>
      <c r="AO106" s="77"/>
      <c r="AP106" s="77"/>
      <c r="AQ106" s="88"/>
    </row>
    <row r="107" spans="2:43" outlineLevel="1" x14ac:dyDescent="0.25">
      <c r="B107" s="370" t="s">
        <v>247</v>
      </c>
      <c r="C107" s="371"/>
      <c r="D107" s="164">
        <v>1389</v>
      </c>
      <c r="E107" s="164">
        <v>1770</v>
      </c>
      <c r="F107" s="164">
        <v>2018</v>
      </c>
      <c r="G107" s="164">
        <v>2203</v>
      </c>
      <c r="H107" s="165">
        <f>G107</f>
        <v>2203</v>
      </c>
      <c r="I107" s="164">
        <v>2400</v>
      </c>
      <c r="J107" s="164">
        <v>2626</v>
      </c>
      <c r="K107" s="164">
        <v>2503</v>
      </c>
      <c r="L107" s="164">
        <v>2892</v>
      </c>
      <c r="M107" s="165">
        <f>L107</f>
        <v>2892</v>
      </c>
      <c r="N107" s="164">
        <v>4003</v>
      </c>
      <c r="O107" s="164">
        <v>3720</v>
      </c>
      <c r="P107" s="164">
        <v>4255</v>
      </c>
      <c r="Q107" s="164">
        <v>5509</v>
      </c>
      <c r="R107" s="165">
        <f>Q107</f>
        <v>5509</v>
      </c>
      <c r="S107" s="77"/>
      <c r="T107" s="77"/>
      <c r="U107" s="77"/>
      <c r="V107" s="77"/>
      <c r="W107" s="88"/>
      <c r="X107" s="77"/>
      <c r="Y107" s="77"/>
      <c r="Z107" s="77"/>
      <c r="AA107" s="77"/>
      <c r="AB107" s="88"/>
      <c r="AC107" s="77"/>
      <c r="AD107" s="77"/>
      <c r="AE107" s="77"/>
      <c r="AF107" s="77"/>
      <c r="AG107" s="88"/>
      <c r="AH107" s="77"/>
      <c r="AI107" s="77"/>
      <c r="AJ107" s="77"/>
      <c r="AK107" s="77"/>
      <c r="AL107" s="88"/>
      <c r="AM107" s="77"/>
      <c r="AN107" s="77"/>
      <c r="AO107" s="77"/>
      <c r="AP107" s="77"/>
      <c r="AQ107" s="88"/>
    </row>
    <row r="108" spans="2:43" ht="17.25" outlineLevel="1" x14ac:dyDescent="0.4">
      <c r="B108" s="370" t="s">
        <v>229</v>
      </c>
      <c r="C108" s="371"/>
      <c r="D108" s="166">
        <v>55</v>
      </c>
      <c r="E108" s="166">
        <v>79</v>
      </c>
      <c r="F108" s="166">
        <v>78</v>
      </c>
      <c r="G108" s="166">
        <v>90</v>
      </c>
      <c r="H108" s="167">
        <f>+G108</f>
        <v>90</v>
      </c>
      <c r="I108" s="166">
        <v>80</v>
      </c>
      <c r="J108" s="166">
        <v>88</v>
      </c>
      <c r="K108" s="166">
        <v>105</v>
      </c>
      <c r="L108" s="166">
        <v>98</v>
      </c>
      <c r="M108" s="167">
        <f>+L108</f>
        <v>98</v>
      </c>
      <c r="N108" s="166">
        <v>94</v>
      </c>
      <c r="O108" s="166">
        <v>91</v>
      </c>
      <c r="P108" s="166">
        <v>115</v>
      </c>
      <c r="Q108" s="166">
        <v>147</v>
      </c>
      <c r="R108" s="167">
        <f>+Q108</f>
        <v>147</v>
      </c>
      <c r="S108" s="78"/>
      <c r="T108" s="78"/>
      <c r="U108" s="78"/>
      <c r="V108" s="78"/>
      <c r="W108" s="96"/>
      <c r="X108" s="78"/>
      <c r="Y108" s="78"/>
      <c r="Z108" s="78"/>
      <c r="AA108" s="78"/>
      <c r="AB108" s="96"/>
      <c r="AC108" s="78"/>
      <c r="AD108" s="78"/>
      <c r="AE108" s="78"/>
      <c r="AF108" s="78"/>
      <c r="AG108" s="96"/>
      <c r="AH108" s="78"/>
      <c r="AI108" s="78"/>
      <c r="AJ108" s="78"/>
      <c r="AK108" s="78"/>
      <c r="AL108" s="96"/>
      <c r="AM108" s="78"/>
      <c r="AN108" s="78"/>
      <c r="AO108" s="78"/>
      <c r="AP108" s="78"/>
      <c r="AQ108" s="96"/>
    </row>
    <row r="109" spans="2:43" outlineLevel="1" x14ac:dyDescent="0.25">
      <c r="B109" s="368" t="s">
        <v>8</v>
      </c>
      <c r="C109" s="369"/>
      <c r="D109" s="158">
        <f t="shared" ref="D109" si="143">SUM(D105:D108)</f>
        <v>1809</v>
      </c>
      <c r="E109" s="158">
        <f t="shared" ref="E109" si="144">SUM(E105:E108)</f>
        <v>2211</v>
      </c>
      <c r="F109" s="158">
        <f t="shared" ref="F109" si="145">SUM(F105:F108)</f>
        <v>2595</v>
      </c>
      <c r="G109" s="158">
        <f t="shared" ref="G109" si="146">SUM(G105:G108)</f>
        <v>2875</v>
      </c>
      <c r="H109" s="159">
        <f t="shared" ref="H109:R109" si="147">SUM(H105:H108)</f>
        <v>2875</v>
      </c>
      <c r="I109" s="158">
        <f t="shared" si="147"/>
        <v>2928</v>
      </c>
      <c r="J109" s="158">
        <f t="shared" si="147"/>
        <v>3315</v>
      </c>
      <c r="K109" s="158">
        <f t="shared" si="147"/>
        <v>3305</v>
      </c>
      <c r="L109" s="158">
        <f t="shared" si="147"/>
        <v>3760</v>
      </c>
      <c r="M109" s="159">
        <f t="shared" si="147"/>
        <v>3760</v>
      </c>
      <c r="N109" s="158">
        <f t="shared" si="147"/>
        <v>5086</v>
      </c>
      <c r="O109" s="158">
        <f t="shared" si="147"/>
        <v>4670</v>
      </c>
      <c r="P109" s="158">
        <f t="shared" si="147"/>
        <v>5462</v>
      </c>
      <c r="Q109" s="158">
        <f t="shared" si="147"/>
        <v>7017</v>
      </c>
      <c r="R109" s="159">
        <f t="shared" si="147"/>
        <v>7017</v>
      </c>
      <c r="S109" s="85"/>
      <c r="T109" s="85"/>
      <c r="U109" s="85"/>
      <c r="V109" s="85"/>
      <c r="W109" s="86"/>
      <c r="X109" s="85"/>
      <c r="Y109" s="85"/>
      <c r="Z109" s="85"/>
      <c r="AA109" s="85"/>
      <c r="AB109" s="86"/>
      <c r="AC109" s="85"/>
      <c r="AD109" s="85"/>
      <c r="AE109" s="85"/>
      <c r="AF109" s="85"/>
      <c r="AG109" s="86"/>
      <c r="AH109" s="85"/>
      <c r="AI109" s="85"/>
      <c r="AJ109" s="85"/>
      <c r="AK109" s="85"/>
      <c r="AL109" s="86"/>
      <c r="AM109" s="85"/>
      <c r="AN109" s="85"/>
      <c r="AO109" s="85"/>
      <c r="AP109" s="85"/>
      <c r="AQ109" s="86"/>
    </row>
    <row r="110" spans="2:43" ht="15.75" customHeight="1" outlineLevel="1" x14ac:dyDescent="0.4">
      <c r="B110" s="370" t="s">
        <v>44</v>
      </c>
      <c r="C110" s="371"/>
      <c r="D110" s="166">
        <v>1865</v>
      </c>
      <c r="E110" s="166">
        <v>2162</v>
      </c>
      <c r="F110" s="166">
        <v>2291</v>
      </c>
      <c r="G110" s="166">
        <v>2892</v>
      </c>
      <c r="H110" s="167">
        <f t="shared" ref="H110" si="148">G110</f>
        <v>2892</v>
      </c>
      <c r="I110" s="166">
        <v>3598</v>
      </c>
      <c r="J110" s="166">
        <v>4047</v>
      </c>
      <c r="K110" s="166">
        <v>4485</v>
      </c>
      <c r="L110" s="166">
        <v>6417</v>
      </c>
      <c r="M110" s="167">
        <f t="shared" ref="M110" si="149">L110</f>
        <v>6417</v>
      </c>
      <c r="N110" s="166">
        <v>6239</v>
      </c>
      <c r="O110" s="166">
        <v>6239</v>
      </c>
      <c r="P110" s="166">
        <v>6648</v>
      </c>
      <c r="Q110" s="166">
        <v>6190</v>
      </c>
      <c r="R110" s="167">
        <f t="shared" ref="R110" si="150">Q110</f>
        <v>6190</v>
      </c>
      <c r="S110" s="78"/>
      <c r="T110" s="78"/>
      <c r="U110" s="78"/>
      <c r="V110" s="78"/>
      <c r="W110" s="96"/>
      <c r="X110" s="78"/>
      <c r="Y110" s="78"/>
      <c r="Z110" s="78"/>
      <c r="AA110" s="78"/>
      <c r="AB110" s="96"/>
      <c r="AC110" s="78"/>
      <c r="AD110" s="78"/>
      <c r="AE110" s="78"/>
      <c r="AF110" s="78"/>
      <c r="AG110" s="96"/>
      <c r="AH110" s="78"/>
      <c r="AI110" s="78"/>
      <c r="AJ110" s="78"/>
      <c r="AK110" s="78"/>
      <c r="AL110" s="96"/>
      <c r="AM110" s="78"/>
      <c r="AN110" s="78"/>
      <c r="AO110" s="78"/>
      <c r="AP110" s="78"/>
      <c r="AQ110" s="96"/>
    </row>
    <row r="111" spans="2:43" outlineLevel="1" x14ac:dyDescent="0.25">
      <c r="B111" s="412" t="s">
        <v>9</v>
      </c>
      <c r="C111" s="413"/>
      <c r="D111" s="158">
        <f t="shared" ref="D111:R111" si="151">SUM(D109:D110)</f>
        <v>3674</v>
      </c>
      <c r="E111" s="158">
        <f t="shared" si="151"/>
        <v>4373</v>
      </c>
      <c r="F111" s="158">
        <f t="shared" si="151"/>
        <v>4886</v>
      </c>
      <c r="G111" s="158">
        <f t="shared" si="151"/>
        <v>5767</v>
      </c>
      <c r="H111" s="159">
        <f t="shared" si="151"/>
        <v>5767</v>
      </c>
      <c r="I111" s="158">
        <f t="shared" si="151"/>
        <v>6526</v>
      </c>
      <c r="J111" s="158">
        <f t="shared" si="151"/>
        <v>7362</v>
      </c>
      <c r="K111" s="158">
        <f t="shared" si="151"/>
        <v>7790</v>
      </c>
      <c r="L111" s="158">
        <f t="shared" si="151"/>
        <v>10177</v>
      </c>
      <c r="M111" s="159">
        <f t="shared" si="151"/>
        <v>10177</v>
      </c>
      <c r="N111" s="158">
        <f t="shared" si="151"/>
        <v>11325</v>
      </c>
      <c r="O111" s="158">
        <f t="shared" si="151"/>
        <v>10909</v>
      </c>
      <c r="P111" s="158">
        <f t="shared" si="151"/>
        <v>12110</v>
      </c>
      <c r="Q111" s="158">
        <f t="shared" si="151"/>
        <v>13207</v>
      </c>
      <c r="R111" s="159">
        <f t="shared" si="151"/>
        <v>13207</v>
      </c>
      <c r="S111" s="85"/>
      <c r="T111" s="85"/>
      <c r="U111" s="85"/>
      <c r="V111" s="85"/>
      <c r="W111" s="86"/>
      <c r="X111" s="85"/>
      <c r="Y111" s="85"/>
      <c r="Z111" s="85"/>
      <c r="AA111" s="85"/>
      <c r="AB111" s="86"/>
      <c r="AC111" s="85"/>
      <c r="AD111" s="85"/>
      <c r="AE111" s="85"/>
      <c r="AF111" s="85"/>
      <c r="AG111" s="86"/>
      <c r="AH111" s="85"/>
      <c r="AI111" s="85"/>
      <c r="AJ111" s="85"/>
      <c r="AK111" s="85"/>
      <c r="AL111" s="86"/>
      <c r="AM111" s="85"/>
      <c r="AN111" s="85"/>
      <c r="AO111" s="85"/>
      <c r="AP111" s="85"/>
      <c r="AQ111" s="86"/>
    </row>
    <row r="112" spans="2:43" ht="18" x14ac:dyDescent="0.4">
      <c r="B112" s="374" t="s">
        <v>98</v>
      </c>
      <c r="C112" s="375"/>
      <c r="D112" s="68" t="s">
        <v>156</v>
      </c>
      <c r="E112" s="68" t="s">
        <v>157</v>
      </c>
      <c r="F112" s="68" t="s">
        <v>158</v>
      </c>
      <c r="G112" s="68" t="s">
        <v>159</v>
      </c>
      <c r="H112" s="177" t="s">
        <v>160</v>
      </c>
      <c r="I112" s="68" t="s">
        <v>147</v>
      </c>
      <c r="J112" s="68" t="s">
        <v>148</v>
      </c>
      <c r="K112" s="68" t="s">
        <v>149</v>
      </c>
      <c r="L112" s="68" t="s">
        <v>150</v>
      </c>
      <c r="M112" s="177" t="s">
        <v>151</v>
      </c>
      <c r="N112" s="68" t="s">
        <v>138</v>
      </c>
      <c r="O112" s="68" t="s">
        <v>137</v>
      </c>
      <c r="P112" s="68" t="s">
        <v>136</v>
      </c>
      <c r="Q112" s="68" t="s">
        <v>135</v>
      </c>
      <c r="R112" s="177" t="s">
        <v>134</v>
      </c>
      <c r="S112" s="331"/>
      <c r="T112" s="331"/>
      <c r="U112" s="331"/>
      <c r="V112" s="331"/>
      <c r="W112" s="332"/>
      <c r="X112" s="331"/>
      <c r="Y112" s="331"/>
      <c r="Z112" s="331"/>
      <c r="AA112" s="331"/>
      <c r="AB112" s="332"/>
      <c r="AC112" s="331"/>
      <c r="AD112" s="331"/>
      <c r="AE112" s="331"/>
      <c r="AF112" s="331"/>
      <c r="AG112" s="332"/>
      <c r="AH112" s="331"/>
      <c r="AI112" s="331"/>
      <c r="AJ112" s="331"/>
      <c r="AK112" s="331"/>
      <c r="AL112" s="332"/>
      <c r="AM112" s="331"/>
      <c r="AN112" s="331"/>
      <c r="AO112" s="331"/>
      <c r="AP112" s="331"/>
      <c r="AQ112" s="332"/>
    </row>
    <row r="113" spans="2:43" outlineLevel="1" x14ac:dyDescent="0.25">
      <c r="B113" s="360" t="s">
        <v>10</v>
      </c>
      <c r="C113" s="361"/>
      <c r="D113" s="77">
        <v>0</v>
      </c>
      <c r="E113" s="70">
        <v>0</v>
      </c>
      <c r="F113" s="70">
        <v>0</v>
      </c>
      <c r="G113" s="70">
        <v>0</v>
      </c>
      <c r="H113" s="71">
        <f>G113</f>
        <v>0</v>
      </c>
      <c r="I113" s="195">
        <v>0</v>
      </c>
      <c r="J113" s="195">
        <v>0</v>
      </c>
      <c r="K113" s="195">
        <v>0</v>
      </c>
      <c r="L113" s="195">
        <v>0</v>
      </c>
      <c r="M113" s="71">
        <f>L113</f>
        <v>0</v>
      </c>
      <c r="N113" s="195">
        <v>0</v>
      </c>
      <c r="O113" s="195">
        <v>0</v>
      </c>
      <c r="P113" s="195">
        <v>0</v>
      </c>
      <c r="Q113" s="195">
        <v>0</v>
      </c>
      <c r="R113" s="71">
        <f>Q113</f>
        <v>0</v>
      </c>
      <c r="S113" s="77"/>
      <c r="T113" s="77"/>
      <c r="U113" s="77"/>
      <c r="V113" s="77"/>
      <c r="W113" s="88"/>
      <c r="X113" s="77"/>
      <c r="Y113" s="77"/>
      <c r="Z113" s="77"/>
      <c r="AA113" s="77"/>
      <c r="AB113" s="88"/>
      <c r="AC113" s="77"/>
      <c r="AD113" s="77"/>
      <c r="AE113" s="77"/>
      <c r="AF113" s="77"/>
      <c r="AG113" s="88"/>
      <c r="AH113" s="77"/>
      <c r="AI113" s="77"/>
      <c r="AJ113" s="77"/>
      <c r="AK113" s="77"/>
      <c r="AL113" s="88"/>
      <c r="AM113" s="77"/>
      <c r="AN113" s="77"/>
      <c r="AO113" s="77"/>
      <c r="AP113" s="77"/>
      <c r="AQ113" s="88"/>
    </row>
    <row r="114" spans="2:43" outlineLevel="1" x14ac:dyDescent="0.25">
      <c r="B114" s="256" t="s">
        <v>86</v>
      </c>
      <c r="C114" s="257"/>
      <c r="D114" s="77">
        <v>35673</v>
      </c>
      <c r="E114" s="70">
        <v>36494</v>
      </c>
      <c r="F114" s="70">
        <v>37391</v>
      </c>
      <c r="G114" s="70">
        <v>38227</v>
      </c>
      <c r="H114" s="71">
        <f>G114</f>
        <v>38227</v>
      </c>
      <c r="I114" s="195">
        <v>38639</v>
      </c>
      <c r="J114" s="195">
        <v>39291</v>
      </c>
      <c r="K114" s="195">
        <v>40199</v>
      </c>
      <c r="L114" s="195">
        <v>40584</v>
      </c>
      <c r="M114" s="71">
        <f>L114</f>
        <v>40584</v>
      </c>
      <c r="N114" s="195">
        <v>41134</v>
      </c>
      <c r="O114" s="195">
        <v>41832</v>
      </c>
      <c r="P114" s="195">
        <v>42352</v>
      </c>
      <c r="Q114" s="195">
        <v>42906</v>
      </c>
      <c r="R114" s="71">
        <f>Q114</f>
        <v>42906</v>
      </c>
      <c r="S114" s="77"/>
      <c r="T114" s="77"/>
      <c r="U114" s="77"/>
      <c r="V114" s="77"/>
      <c r="W114" s="88"/>
      <c r="X114" s="77"/>
      <c r="Y114" s="77"/>
      <c r="Z114" s="77"/>
      <c r="AA114" s="77"/>
      <c r="AB114" s="88"/>
      <c r="AC114" s="77"/>
      <c r="AD114" s="77"/>
      <c r="AE114" s="77"/>
      <c r="AF114" s="77"/>
      <c r="AG114" s="88"/>
      <c r="AH114" s="77"/>
      <c r="AI114" s="77"/>
      <c r="AJ114" s="77"/>
      <c r="AK114" s="77"/>
      <c r="AL114" s="88"/>
      <c r="AM114" s="77"/>
      <c r="AN114" s="77"/>
      <c r="AO114" s="77"/>
      <c r="AP114" s="77"/>
      <c r="AQ114" s="88"/>
    </row>
    <row r="115" spans="2:43" outlineLevel="1" x14ac:dyDescent="0.25">
      <c r="B115" s="378" t="s">
        <v>248</v>
      </c>
      <c r="C115" s="379"/>
      <c r="D115" s="70">
        <v>-276</v>
      </c>
      <c r="E115" s="70">
        <v>-374</v>
      </c>
      <c r="F115" s="70">
        <v>-372</v>
      </c>
      <c r="G115" s="70">
        <v>-703</v>
      </c>
      <c r="H115" s="71">
        <f>+G115</f>
        <v>-703</v>
      </c>
      <c r="I115" s="195">
        <v>-626</v>
      </c>
      <c r="J115" s="195">
        <v>-370</v>
      </c>
      <c r="K115" s="195">
        <v>-200</v>
      </c>
      <c r="L115" s="195">
        <v>-227</v>
      </c>
      <c r="M115" s="71">
        <f>+L115</f>
        <v>-227</v>
      </c>
      <c r="N115" s="195">
        <v>-294</v>
      </c>
      <c r="O115" s="195">
        <v>-687</v>
      </c>
      <c r="P115" s="195">
        <v>-777</v>
      </c>
      <c r="Q115" s="195">
        <v>-760</v>
      </c>
      <c r="R115" s="71">
        <f>+Q115</f>
        <v>-760</v>
      </c>
      <c r="S115" s="77"/>
      <c r="T115" s="77"/>
      <c r="U115" s="77"/>
      <c r="V115" s="77"/>
      <c r="W115" s="88"/>
      <c r="X115" s="77"/>
      <c r="Y115" s="77"/>
      <c r="Z115" s="77"/>
      <c r="AA115" s="77"/>
      <c r="AB115" s="88"/>
      <c r="AC115" s="77"/>
      <c r="AD115" s="77"/>
      <c r="AE115" s="77"/>
      <c r="AF115" s="77"/>
      <c r="AG115" s="88"/>
      <c r="AH115" s="77"/>
      <c r="AI115" s="77"/>
      <c r="AJ115" s="77"/>
      <c r="AK115" s="77"/>
      <c r="AL115" s="88"/>
      <c r="AM115" s="77"/>
      <c r="AN115" s="77"/>
      <c r="AO115" s="77"/>
      <c r="AP115" s="77"/>
      <c r="AQ115" s="88"/>
    </row>
    <row r="116" spans="2:43" ht="17.25" outlineLevel="1" x14ac:dyDescent="0.4">
      <c r="B116" s="378" t="s">
        <v>45</v>
      </c>
      <c r="C116" s="379"/>
      <c r="D116" s="78">
        <v>13190.5</v>
      </c>
      <c r="E116" s="75">
        <v>15475</v>
      </c>
      <c r="F116" s="75">
        <v>18102</v>
      </c>
      <c r="G116" s="75">
        <v>21670</v>
      </c>
      <c r="H116" s="76">
        <f>G116</f>
        <v>21670</v>
      </c>
      <c r="I116" s="285">
        <v>24175</v>
      </c>
      <c r="J116" s="285">
        <v>27560</v>
      </c>
      <c r="K116" s="285">
        <v>31209</v>
      </c>
      <c r="L116" s="285">
        <v>33990</v>
      </c>
      <c r="M116" s="76">
        <f>L116</f>
        <v>33990</v>
      </c>
      <c r="N116" s="285">
        <v>36780</v>
      </c>
      <c r="O116" s="285">
        <v>38237</v>
      </c>
      <c r="P116" s="285">
        <v>38767</v>
      </c>
      <c r="Q116" s="285">
        <v>41981</v>
      </c>
      <c r="R116" s="76">
        <f>Q116</f>
        <v>41981</v>
      </c>
      <c r="S116" s="78"/>
      <c r="T116" s="78"/>
      <c r="U116" s="78"/>
      <c r="V116" s="78"/>
      <c r="W116" s="96"/>
      <c r="X116" s="78"/>
      <c r="Y116" s="78"/>
      <c r="Z116" s="78"/>
      <c r="AA116" s="78"/>
      <c r="AB116" s="96"/>
      <c r="AC116" s="78"/>
      <c r="AD116" s="78"/>
      <c r="AE116" s="78"/>
      <c r="AF116" s="78"/>
      <c r="AG116" s="96"/>
      <c r="AH116" s="78"/>
      <c r="AI116" s="78"/>
      <c r="AJ116" s="78"/>
      <c r="AK116" s="78"/>
      <c r="AL116" s="96"/>
      <c r="AM116" s="78"/>
      <c r="AN116" s="78"/>
      <c r="AO116" s="78"/>
      <c r="AP116" s="78"/>
      <c r="AQ116" s="96"/>
    </row>
    <row r="117" spans="2:43" outlineLevel="1" x14ac:dyDescent="0.25">
      <c r="B117" s="376" t="s">
        <v>46</v>
      </c>
      <c r="C117" s="377"/>
      <c r="D117" s="83">
        <f t="shared" ref="D117:I117" si="152">SUM(D113:D116)</f>
        <v>48587.5</v>
      </c>
      <c r="E117" s="83">
        <f t="shared" si="152"/>
        <v>51595</v>
      </c>
      <c r="F117" s="83">
        <f t="shared" si="152"/>
        <v>55121</v>
      </c>
      <c r="G117" s="83">
        <f t="shared" si="152"/>
        <v>59194</v>
      </c>
      <c r="H117" s="84">
        <f t="shared" si="152"/>
        <v>59194</v>
      </c>
      <c r="I117" s="83">
        <f t="shared" si="152"/>
        <v>62188</v>
      </c>
      <c r="J117" s="85">
        <f t="shared" ref="J117:M117" si="153">SUM(J113:J116)</f>
        <v>66481</v>
      </c>
      <c r="K117" s="83">
        <f t="shared" si="153"/>
        <v>71208</v>
      </c>
      <c r="L117" s="83">
        <f t="shared" si="153"/>
        <v>74347</v>
      </c>
      <c r="M117" s="84">
        <f t="shared" si="153"/>
        <v>74347</v>
      </c>
      <c r="N117" s="83">
        <f t="shared" ref="N117" si="154">SUM(N113:N116)</f>
        <v>77620</v>
      </c>
      <c r="O117" s="85">
        <f t="shared" ref="O117" si="155">SUM(O113:O116)</f>
        <v>79382</v>
      </c>
      <c r="P117" s="83">
        <f t="shared" ref="P117" si="156">SUM(P113:P116)</f>
        <v>80342</v>
      </c>
      <c r="Q117" s="83">
        <f>SUM(Q113:Q116)</f>
        <v>84127</v>
      </c>
      <c r="R117" s="84">
        <f t="shared" ref="R117" si="157">SUM(R113:R116)</f>
        <v>84127</v>
      </c>
      <c r="S117" s="85"/>
      <c r="T117" s="85"/>
      <c r="U117" s="85"/>
      <c r="V117" s="85"/>
      <c r="W117" s="86"/>
      <c r="X117" s="85"/>
      <c r="Y117" s="85"/>
      <c r="Z117" s="85"/>
      <c r="AA117" s="85"/>
      <c r="AB117" s="86"/>
      <c r="AC117" s="85"/>
      <c r="AD117" s="85"/>
      <c r="AE117" s="85"/>
      <c r="AF117" s="85"/>
      <c r="AG117" s="86"/>
      <c r="AH117" s="85"/>
      <c r="AI117" s="85"/>
      <c r="AJ117" s="85"/>
      <c r="AK117" s="85"/>
      <c r="AL117" s="86"/>
      <c r="AM117" s="85"/>
      <c r="AN117" s="85"/>
      <c r="AO117" s="85"/>
      <c r="AP117" s="85"/>
      <c r="AQ117" s="86"/>
    </row>
    <row r="118" spans="2:43" outlineLevel="1" x14ac:dyDescent="0.25">
      <c r="B118" s="418" t="s">
        <v>11</v>
      </c>
      <c r="C118" s="419"/>
      <c r="D118" s="97">
        <f t="shared" ref="D118:R118" si="158">D117+D111</f>
        <v>52261.5</v>
      </c>
      <c r="E118" s="97">
        <f t="shared" si="158"/>
        <v>55968</v>
      </c>
      <c r="F118" s="97">
        <f t="shared" si="158"/>
        <v>60007</v>
      </c>
      <c r="G118" s="97">
        <f t="shared" si="158"/>
        <v>64961</v>
      </c>
      <c r="H118" s="98">
        <f t="shared" si="158"/>
        <v>64961</v>
      </c>
      <c r="I118" s="97">
        <f t="shared" si="158"/>
        <v>68714</v>
      </c>
      <c r="J118" s="99">
        <f t="shared" si="158"/>
        <v>73843</v>
      </c>
      <c r="K118" s="97">
        <f t="shared" si="158"/>
        <v>78998</v>
      </c>
      <c r="L118" s="97">
        <f t="shared" si="158"/>
        <v>84524</v>
      </c>
      <c r="M118" s="98">
        <f t="shared" si="158"/>
        <v>84524</v>
      </c>
      <c r="N118" s="97">
        <f t="shared" si="158"/>
        <v>88945</v>
      </c>
      <c r="O118" s="99">
        <f t="shared" si="158"/>
        <v>90291</v>
      </c>
      <c r="P118" s="97">
        <f t="shared" si="158"/>
        <v>92452</v>
      </c>
      <c r="Q118" s="97">
        <f t="shared" si="158"/>
        <v>97334</v>
      </c>
      <c r="R118" s="98">
        <f t="shared" si="158"/>
        <v>97334</v>
      </c>
      <c r="S118" s="99"/>
      <c r="T118" s="99"/>
      <c r="U118" s="99"/>
      <c r="V118" s="99"/>
      <c r="W118" s="335"/>
      <c r="X118" s="99"/>
      <c r="Y118" s="99"/>
      <c r="Z118" s="99"/>
      <c r="AA118" s="99"/>
      <c r="AB118" s="335"/>
      <c r="AC118" s="99"/>
      <c r="AD118" s="99"/>
      <c r="AE118" s="99"/>
      <c r="AF118" s="99"/>
      <c r="AG118" s="335"/>
      <c r="AH118" s="99"/>
      <c r="AI118" s="99"/>
      <c r="AJ118" s="99"/>
      <c r="AK118" s="99"/>
      <c r="AL118" s="335"/>
      <c r="AM118" s="99"/>
      <c r="AN118" s="99"/>
      <c r="AO118" s="99"/>
      <c r="AP118" s="99"/>
      <c r="AQ118" s="335"/>
    </row>
    <row r="119" spans="2:43" x14ac:dyDescent="0.25">
      <c r="B119" s="35"/>
      <c r="C119" s="30"/>
      <c r="D119" s="15">
        <f t="shared" ref="D119:P119" si="159">D118-D103</f>
        <v>0</v>
      </c>
      <c r="E119" s="15">
        <f t="shared" si="159"/>
        <v>0</v>
      </c>
      <c r="F119" s="15">
        <f t="shared" si="159"/>
        <v>0</v>
      </c>
      <c r="G119" s="15">
        <f t="shared" si="159"/>
        <v>0</v>
      </c>
      <c r="H119" s="15">
        <f t="shared" si="159"/>
        <v>0</v>
      </c>
      <c r="I119" s="15">
        <f t="shared" si="159"/>
        <v>0</v>
      </c>
      <c r="J119" s="15">
        <f t="shared" si="159"/>
        <v>0</v>
      </c>
      <c r="K119" s="15">
        <f t="shared" si="159"/>
        <v>0</v>
      </c>
      <c r="L119" s="15">
        <f t="shared" si="159"/>
        <v>0</v>
      </c>
      <c r="M119" s="15">
        <f t="shared" si="159"/>
        <v>0</v>
      </c>
      <c r="N119" s="15">
        <f t="shared" si="159"/>
        <v>0</v>
      </c>
      <c r="O119" s="15">
        <f t="shared" si="159"/>
        <v>0</v>
      </c>
      <c r="P119" s="15">
        <f t="shared" si="159"/>
        <v>0</v>
      </c>
      <c r="Q119" s="123">
        <f t="shared" ref="Q119:R119" si="160">ROUND((Q118-Q103),0)</f>
        <v>0</v>
      </c>
      <c r="R119" s="123">
        <f t="shared" si="160"/>
        <v>0</v>
      </c>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row>
    <row r="120" spans="2:43" ht="15.75" x14ac:dyDescent="0.25">
      <c r="B120" s="374" t="s">
        <v>23</v>
      </c>
      <c r="C120" s="375"/>
      <c r="D120" s="67" t="s">
        <v>152</v>
      </c>
      <c r="E120" s="67" t="s">
        <v>153</v>
      </c>
      <c r="F120" s="67" t="s">
        <v>154</v>
      </c>
      <c r="G120" s="67" t="s">
        <v>155</v>
      </c>
      <c r="H120" s="176" t="s">
        <v>155</v>
      </c>
      <c r="I120" s="67" t="s">
        <v>139</v>
      </c>
      <c r="J120" s="67" t="s">
        <v>144</v>
      </c>
      <c r="K120" s="67" t="s">
        <v>145</v>
      </c>
      <c r="L120" s="67" t="s">
        <v>146</v>
      </c>
      <c r="M120" s="176" t="s">
        <v>146</v>
      </c>
      <c r="N120" s="67" t="s">
        <v>141</v>
      </c>
      <c r="O120" s="67" t="s">
        <v>140</v>
      </c>
      <c r="P120" s="67" t="s">
        <v>142</v>
      </c>
      <c r="Q120" s="67" t="s">
        <v>143</v>
      </c>
      <c r="R120" s="176" t="s">
        <v>143</v>
      </c>
      <c r="S120" s="69" t="s">
        <v>161</v>
      </c>
      <c r="T120" s="69" t="s">
        <v>162</v>
      </c>
      <c r="U120" s="69" t="s">
        <v>163</v>
      </c>
      <c r="V120" s="69" t="s">
        <v>164</v>
      </c>
      <c r="W120" s="180" t="s">
        <v>164</v>
      </c>
      <c r="X120" s="69" t="s">
        <v>165</v>
      </c>
      <c r="Y120" s="69" t="s">
        <v>166</v>
      </c>
      <c r="Z120" s="69" t="s">
        <v>167</v>
      </c>
      <c r="AA120" s="69" t="s">
        <v>168</v>
      </c>
      <c r="AB120" s="180" t="s">
        <v>168</v>
      </c>
      <c r="AC120" s="69" t="s">
        <v>169</v>
      </c>
      <c r="AD120" s="69" t="s">
        <v>170</v>
      </c>
      <c r="AE120" s="69" t="s">
        <v>171</v>
      </c>
      <c r="AF120" s="69" t="s">
        <v>172</v>
      </c>
      <c r="AG120" s="180" t="s">
        <v>172</v>
      </c>
      <c r="AH120" s="69" t="s">
        <v>173</v>
      </c>
      <c r="AI120" s="69" t="s">
        <v>174</v>
      </c>
      <c r="AJ120" s="69" t="s">
        <v>175</v>
      </c>
      <c r="AK120" s="69" t="s">
        <v>176</v>
      </c>
      <c r="AL120" s="180" t="s">
        <v>176</v>
      </c>
      <c r="AM120" s="69" t="s">
        <v>177</v>
      </c>
      <c r="AN120" s="69" t="s">
        <v>178</v>
      </c>
      <c r="AO120" s="69" t="s">
        <v>179</v>
      </c>
      <c r="AP120" s="69" t="s">
        <v>180</v>
      </c>
      <c r="AQ120" s="180" t="s">
        <v>180</v>
      </c>
    </row>
    <row r="121" spans="2:43" ht="17.25" x14ac:dyDescent="0.4">
      <c r="B121" s="386"/>
      <c r="C121" s="387"/>
      <c r="D121" s="68" t="s">
        <v>156</v>
      </c>
      <c r="E121" s="68" t="s">
        <v>157</v>
      </c>
      <c r="F121" s="68" t="s">
        <v>158</v>
      </c>
      <c r="G121" s="68" t="s">
        <v>159</v>
      </c>
      <c r="H121" s="177" t="s">
        <v>160</v>
      </c>
      <c r="I121" s="68" t="s">
        <v>147</v>
      </c>
      <c r="J121" s="68" t="s">
        <v>148</v>
      </c>
      <c r="K121" s="68" t="s">
        <v>149</v>
      </c>
      <c r="L121" s="68" t="s">
        <v>150</v>
      </c>
      <c r="M121" s="177" t="s">
        <v>151</v>
      </c>
      <c r="N121" s="68" t="s">
        <v>138</v>
      </c>
      <c r="O121" s="68" t="s">
        <v>137</v>
      </c>
      <c r="P121" s="68" t="s">
        <v>136</v>
      </c>
      <c r="Q121" s="68" t="s">
        <v>135</v>
      </c>
      <c r="R121" s="177" t="s">
        <v>134</v>
      </c>
      <c r="S121" s="66" t="s">
        <v>273</v>
      </c>
      <c r="T121" s="66" t="s">
        <v>274</v>
      </c>
      <c r="U121" s="66" t="s">
        <v>275</v>
      </c>
      <c r="V121" s="66" t="s">
        <v>276</v>
      </c>
      <c r="W121" s="181" t="s">
        <v>277</v>
      </c>
      <c r="X121" s="66" t="s">
        <v>278</v>
      </c>
      <c r="Y121" s="66" t="s">
        <v>279</v>
      </c>
      <c r="Z121" s="66" t="s">
        <v>280</v>
      </c>
      <c r="AA121" s="66" t="s">
        <v>281</v>
      </c>
      <c r="AB121" s="181" t="s">
        <v>282</v>
      </c>
      <c r="AC121" s="66" t="s">
        <v>283</v>
      </c>
      <c r="AD121" s="66" t="s">
        <v>284</v>
      </c>
      <c r="AE121" s="66" t="s">
        <v>285</v>
      </c>
      <c r="AF121" s="66" t="s">
        <v>286</v>
      </c>
      <c r="AG121" s="181" t="s">
        <v>287</v>
      </c>
      <c r="AH121" s="66" t="s">
        <v>288</v>
      </c>
      <c r="AI121" s="66" t="s">
        <v>289</v>
      </c>
      <c r="AJ121" s="66" t="s">
        <v>290</v>
      </c>
      <c r="AK121" s="66" t="s">
        <v>291</v>
      </c>
      <c r="AL121" s="181" t="s">
        <v>292</v>
      </c>
      <c r="AM121" s="66" t="s">
        <v>293</v>
      </c>
      <c r="AN121" s="66" t="s">
        <v>294</v>
      </c>
      <c r="AO121" s="66" t="s">
        <v>295</v>
      </c>
      <c r="AP121" s="66" t="s">
        <v>296</v>
      </c>
      <c r="AQ121" s="181" t="s">
        <v>297</v>
      </c>
    </row>
    <row r="122" spans="2:43" s="36" customFormat="1" outlineLevel="1" x14ac:dyDescent="0.25">
      <c r="B122" s="143" t="s">
        <v>249</v>
      </c>
      <c r="C122" s="54"/>
      <c r="D122" s="95">
        <v>90</v>
      </c>
      <c r="E122" s="95">
        <v>90</v>
      </c>
      <c r="F122" s="95">
        <v>90</v>
      </c>
      <c r="G122" s="95">
        <v>90</v>
      </c>
      <c r="H122" s="101"/>
      <c r="I122" s="95">
        <v>90</v>
      </c>
      <c r="J122" s="95">
        <v>90</v>
      </c>
      <c r="K122" s="95">
        <v>90</v>
      </c>
      <c r="L122" s="95">
        <v>90</v>
      </c>
      <c r="M122" s="101"/>
      <c r="N122" s="95">
        <v>90</v>
      </c>
      <c r="O122" s="95">
        <v>90</v>
      </c>
      <c r="P122" s="95">
        <v>90</v>
      </c>
      <c r="Q122" s="95">
        <v>90</v>
      </c>
      <c r="R122" s="101"/>
      <c r="S122" s="95"/>
      <c r="T122" s="95"/>
      <c r="U122" s="95"/>
      <c r="V122" s="95"/>
      <c r="W122" s="101"/>
      <c r="X122" s="95"/>
      <c r="Y122" s="95"/>
      <c r="Z122" s="95"/>
      <c r="AA122" s="95"/>
      <c r="AB122" s="101"/>
      <c r="AC122" s="95"/>
      <c r="AD122" s="95"/>
      <c r="AE122" s="95"/>
      <c r="AF122" s="95"/>
      <c r="AG122" s="101"/>
      <c r="AH122" s="95"/>
      <c r="AI122" s="95"/>
      <c r="AJ122" s="95"/>
      <c r="AK122" s="95"/>
      <c r="AL122" s="101"/>
      <c r="AM122" s="95"/>
      <c r="AN122" s="95"/>
      <c r="AO122" s="95"/>
      <c r="AP122" s="95"/>
      <c r="AQ122" s="101"/>
    </row>
    <row r="123" spans="2:43" ht="17.25" outlineLevel="1" x14ac:dyDescent="0.4">
      <c r="B123" s="360" t="s">
        <v>24</v>
      </c>
      <c r="C123" s="361"/>
      <c r="D123" s="116"/>
      <c r="E123" s="116">
        <f>E13/(AVERAGE(E96,D96))</f>
        <v>2.4999028937657797</v>
      </c>
      <c r="F123" s="116">
        <f>F13/(AVERAGE(F96,E96))</f>
        <v>2.3883495145631066</v>
      </c>
      <c r="G123" s="116">
        <f>G13/(AVERAGE(G96,F96))</f>
        <v>2.4944074755769501</v>
      </c>
      <c r="H123" s="117"/>
      <c r="I123" s="116">
        <f>I13/(AVERAGE(I96,G96))</f>
        <v>2.1684665226781856</v>
      </c>
      <c r="J123" s="116">
        <f>J13/(AVERAGE(J96,I96))</f>
        <v>2.5495076586433258</v>
      </c>
      <c r="K123" s="116">
        <f>K13/(AVERAGE(K96,J96))</f>
        <v>2.4823939430356927</v>
      </c>
      <c r="L123" s="116">
        <f>L13/(AVERAGE(L96,K96))</f>
        <v>2.5296411856474257</v>
      </c>
      <c r="M123" s="55"/>
      <c r="N123" s="116">
        <f>N13/(AVERAGE(N96,L96))</f>
        <v>2.186169726865808</v>
      </c>
      <c r="O123" s="116">
        <f>O13/(AVERAGE(O96,N96))</f>
        <v>2.471929005137786</v>
      </c>
      <c r="P123" s="116">
        <f>P13/(AVERAGE(P96,O96))</f>
        <v>2.3569711538461537</v>
      </c>
      <c r="Q123" s="116">
        <f>Q13/(AVERAGE(Q96,P96))</f>
        <v>2.479149871747893</v>
      </c>
      <c r="R123" s="117"/>
      <c r="S123" s="345"/>
      <c r="T123" s="362" t="s">
        <v>302</v>
      </c>
      <c r="U123" s="363"/>
      <c r="V123" s="346"/>
      <c r="W123" s="117"/>
      <c r="X123" s="345"/>
      <c r="Y123" s="362" t="s">
        <v>302</v>
      </c>
      <c r="Z123" s="363"/>
      <c r="AA123" s="80"/>
      <c r="AB123" s="81"/>
      <c r="AC123" s="80"/>
      <c r="AD123" s="362" t="s">
        <v>302</v>
      </c>
      <c r="AE123" s="363"/>
      <c r="AF123" s="80"/>
      <c r="AG123" s="81"/>
      <c r="AH123" s="80"/>
      <c r="AI123" s="362" t="s">
        <v>302</v>
      </c>
      <c r="AJ123" s="363"/>
      <c r="AK123" s="80"/>
      <c r="AL123" s="81"/>
      <c r="AM123" s="80"/>
      <c r="AN123" s="362" t="s">
        <v>302</v>
      </c>
      <c r="AO123" s="363"/>
      <c r="AP123" s="346"/>
      <c r="AQ123" s="55"/>
    </row>
    <row r="124" spans="2:43" s="112" customFormat="1" outlineLevel="1" x14ac:dyDescent="0.25">
      <c r="B124" s="358" t="s">
        <v>68</v>
      </c>
      <c r="C124" s="359"/>
      <c r="D124" s="95"/>
      <c r="E124" s="95">
        <f>E122/E123</f>
        <v>36.001398384089498</v>
      </c>
      <c r="F124" s="95">
        <f>F122/F123</f>
        <v>37.682926829268297</v>
      </c>
      <c r="G124" s="95">
        <f>G122/G123</f>
        <v>36.080712907253947</v>
      </c>
      <c r="H124" s="117"/>
      <c r="I124" s="95">
        <f>I122/I123</f>
        <v>41.503984063745023</v>
      </c>
      <c r="J124" s="95">
        <f>J122/J123</f>
        <v>35.300933376247187</v>
      </c>
      <c r="K124" s="95">
        <f>K122/K123</f>
        <v>36.255325329202172</v>
      </c>
      <c r="L124" s="95">
        <f>L122/L123</f>
        <v>35.578168362627203</v>
      </c>
      <c r="M124" s="117"/>
      <c r="N124" s="95">
        <f>N122/N123</f>
        <v>41.167892361691457</v>
      </c>
      <c r="O124" s="95">
        <f>O122/O123</f>
        <v>36.408812636988891</v>
      </c>
      <c r="P124" s="95">
        <f>P122/P123</f>
        <v>38.184599694033658</v>
      </c>
      <c r="Q124" s="95">
        <f>Q122/Q123</f>
        <v>36.302766938630718</v>
      </c>
      <c r="R124" s="117"/>
      <c r="S124" s="95"/>
      <c r="T124" s="364"/>
      <c r="U124" s="365"/>
      <c r="V124" s="95"/>
      <c r="W124" s="117"/>
      <c r="X124" s="347"/>
      <c r="Y124" s="364"/>
      <c r="Z124" s="365"/>
      <c r="AA124" s="85"/>
      <c r="AB124" s="86"/>
      <c r="AC124" s="85"/>
      <c r="AD124" s="364"/>
      <c r="AE124" s="365"/>
      <c r="AF124" s="85"/>
      <c r="AG124" s="86"/>
      <c r="AH124" s="85"/>
      <c r="AI124" s="364"/>
      <c r="AJ124" s="365"/>
      <c r="AK124" s="85"/>
      <c r="AL124" s="86"/>
      <c r="AM124" s="85"/>
      <c r="AN124" s="364"/>
      <c r="AO124" s="365"/>
      <c r="AP124" s="348"/>
      <c r="AQ124" s="117"/>
    </row>
    <row r="125" spans="2:43" s="112" customFormat="1" ht="17.25" outlineLevel="1" x14ac:dyDescent="0.4">
      <c r="B125" s="370" t="s">
        <v>69</v>
      </c>
      <c r="C125" s="371"/>
      <c r="D125" s="170"/>
      <c r="E125" s="170"/>
      <c r="F125" s="170"/>
      <c r="G125" s="171"/>
      <c r="H125" s="172"/>
      <c r="I125" s="170">
        <f>I19/(AVERAGE(I105,G105))</f>
        <v>2.7754237288135593</v>
      </c>
      <c r="J125" s="170">
        <f>J19/(AVERAGE(J105,I105))</f>
        <v>2.5963488843813387</v>
      </c>
      <c r="K125" s="170">
        <f>K19/(AVERAGE(K105,J105))</f>
        <v>1.518413597733711</v>
      </c>
      <c r="L125" s="170">
        <f>L19/(AVERAGE(L105,K105))</f>
        <v>1.798165137614679</v>
      </c>
      <c r="M125" s="172"/>
      <c r="N125" s="170">
        <f>N19/(AVERAGE(N105,L105))</f>
        <v>1.5560123329907503</v>
      </c>
      <c r="O125" s="170">
        <f>O19/(AVERAGE(O105,N105))</f>
        <v>1.5335968379446641</v>
      </c>
      <c r="P125" s="170">
        <f>P19/(AVERAGE(P105,O105))</f>
        <v>1.8691774033696729</v>
      </c>
      <c r="Q125" s="170">
        <f>Q19/(AVERAGE(Q105,P105))</f>
        <v>1.3843971631205674</v>
      </c>
      <c r="R125" s="173"/>
      <c r="S125" s="116"/>
      <c r="T125" s="364"/>
      <c r="U125" s="365"/>
      <c r="V125" s="116"/>
      <c r="W125" s="357"/>
      <c r="X125" s="116"/>
      <c r="Y125" s="364"/>
      <c r="Z125" s="365"/>
      <c r="AA125" s="78"/>
      <c r="AB125" s="96"/>
      <c r="AC125" s="78"/>
      <c r="AD125" s="364"/>
      <c r="AE125" s="365"/>
      <c r="AF125" s="78"/>
      <c r="AG125" s="96"/>
      <c r="AH125" s="78"/>
      <c r="AI125" s="364"/>
      <c r="AJ125" s="365"/>
      <c r="AK125" s="78"/>
      <c r="AL125" s="96"/>
      <c r="AM125" s="78"/>
      <c r="AN125" s="364"/>
      <c r="AO125" s="365"/>
      <c r="AP125" s="116"/>
      <c r="AQ125" s="117"/>
    </row>
    <row r="126" spans="2:43" s="87" customFormat="1" outlineLevel="1" x14ac:dyDescent="0.25">
      <c r="B126" s="370" t="s">
        <v>25</v>
      </c>
      <c r="C126" s="371"/>
      <c r="D126" s="164"/>
      <c r="E126" s="164"/>
      <c r="F126" s="164"/>
      <c r="G126" s="164"/>
      <c r="H126" s="174"/>
      <c r="I126" s="164">
        <f>I122/I125</f>
        <v>32.427480916030532</v>
      </c>
      <c r="J126" s="164">
        <f>J122/J125</f>
        <v>34.6640625</v>
      </c>
      <c r="K126" s="164">
        <f>K122/K125</f>
        <v>59.272388059701498</v>
      </c>
      <c r="L126" s="164">
        <f>L122/L125</f>
        <v>50.051020408163261</v>
      </c>
      <c r="M126" s="174"/>
      <c r="N126" s="164">
        <f>N122/N125</f>
        <v>57.840158520475562</v>
      </c>
      <c r="O126" s="164">
        <f>O122/O125</f>
        <v>58.685567010309278</v>
      </c>
      <c r="P126" s="164">
        <f>P122/P125</f>
        <v>48.149522799575827</v>
      </c>
      <c r="Q126" s="164">
        <f>Q122/Q125</f>
        <v>65.010245901639351</v>
      </c>
      <c r="R126" s="174"/>
      <c r="S126" s="77"/>
      <c r="T126" s="366"/>
      <c r="U126" s="367"/>
      <c r="V126" s="77"/>
      <c r="W126" s="304"/>
      <c r="X126" s="77"/>
      <c r="Y126" s="366"/>
      <c r="Z126" s="367"/>
      <c r="AA126" s="85"/>
      <c r="AB126" s="86"/>
      <c r="AC126" s="85"/>
      <c r="AD126" s="366"/>
      <c r="AE126" s="367"/>
      <c r="AF126" s="85"/>
      <c r="AG126" s="86"/>
      <c r="AH126" s="85"/>
      <c r="AI126" s="366"/>
      <c r="AJ126" s="367"/>
      <c r="AK126" s="85"/>
      <c r="AL126" s="86"/>
      <c r="AM126" s="85"/>
      <c r="AN126" s="366"/>
      <c r="AO126" s="367"/>
      <c r="AP126" s="77"/>
      <c r="AQ126" s="304"/>
    </row>
    <row r="127" spans="2:43" s="112" customFormat="1" outlineLevel="1" x14ac:dyDescent="0.25">
      <c r="B127" s="370" t="s">
        <v>250</v>
      </c>
      <c r="C127" s="371"/>
      <c r="D127" s="302">
        <f t="shared" ref="D127:R127" si="161">+D95/D118</f>
        <v>0.27104082355079745</v>
      </c>
      <c r="E127" s="302">
        <f t="shared" si="161"/>
        <v>0.32491781017724414</v>
      </c>
      <c r="F127" s="302">
        <f t="shared" si="161"/>
        <v>0.33499425067075506</v>
      </c>
      <c r="G127" s="302">
        <f t="shared" si="161"/>
        <v>0.31628207693847077</v>
      </c>
      <c r="H127" s="174">
        <f t="shared" si="161"/>
        <v>0.31628207693847077</v>
      </c>
      <c r="I127" s="302">
        <f t="shared" si="161"/>
        <v>0.36676659778211135</v>
      </c>
      <c r="J127" s="302">
        <f t="shared" si="161"/>
        <v>0.3954335549747437</v>
      </c>
      <c r="K127" s="302">
        <f t="shared" si="161"/>
        <v>0.39352895010000255</v>
      </c>
      <c r="L127" s="302">
        <f t="shared" si="161"/>
        <v>0.39789882163645829</v>
      </c>
      <c r="M127" s="174">
        <f t="shared" si="161"/>
        <v>0.39789882163645829</v>
      </c>
      <c r="N127" s="302">
        <f t="shared" si="161"/>
        <v>0.35835628759345661</v>
      </c>
      <c r="O127" s="302">
        <f t="shared" si="161"/>
        <v>0.34064303197439388</v>
      </c>
      <c r="P127" s="302">
        <f t="shared" si="161"/>
        <v>0.34146367844935749</v>
      </c>
      <c r="Q127" s="302">
        <f t="shared" si="161"/>
        <v>0.31946698995212364</v>
      </c>
      <c r="R127" s="174">
        <f t="shared" si="161"/>
        <v>0.31946698995212364</v>
      </c>
      <c r="S127" s="280"/>
      <c r="T127" s="280"/>
      <c r="U127" s="280"/>
      <c r="V127" s="280"/>
      <c r="W127" s="304"/>
      <c r="X127" s="280"/>
      <c r="Y127" s="280"/>
      <c r="Z127" s="280"/>
      <c r="AA127" s="280"/>
      <c r="AB127" s="304"/>
      <c r="AC127" s="280"/>
      <c r="AD127" s="280"/>
      <c r="AE127" s="280"/>
      <c r="AF127" s="280"/>
      <c r="AG127" s="304"/>
      <c r="AH127" s="280"/>
      <c r="AI127" s="280"/>
      <c r="AJ127" s="280"/>
      <c r="AK127" s="280"/>
      <c r="AL127" s="304"/>
      <c r="AM127" s="280"/>
      <c r="AN127" s="280"/>
      <c r="AO127" s="280"/>
      <c r="AP127" s="280"/>
      <c r="AQ127" s="304"/>
    </row>
    <row r="128" spans="2:43" outlineLevel="1" x14ac:dyDescent="0.25">
      <c r="B128" s="399" t="s">
        <v>89</v>
      </c>
      <c r="C128" s="400"/>
      <c r="D128" s="300"/>
      <c r="E128" s="300">
        <f>+E134/((E99+D99)/2)</f>
        <v>8.621324883943704E-2</v>
      </c>
      <c r="F128" s="300">
        <f>+F134/((F99+E99)/2)</f>
        <v>7.8784243151369726E-2</v>
      </c>
      <c r="G128" s="300">
        <f>+G134/((G99+F99)/2)</f>
        <v>7.4469375379017586E-2</v>
      </c>
      <c r="H128" s="301"/>
      <c r="I128" s="300">
        <f>+I134/((I99+G99)/2)</f>
        <v>7.433667534481804E-2</v>
      </c>
      <c r="J128" s="300">
        <f>+J134/((J99+I99)/2)</f>
        <v>7.2573419611747139E-2</v>
      </c>
      <c r="K128" s="300">
        <f>+K134/((K99+J99)/2)</f>
        <v>6.7848679013429294E-2</v>
      </c>
      <c r="L128" s="300">
        <f>+L134/((L99+K99)/2)</f>
        <v>6.5844893543027166E-2</v>
      </c>
      <c r="M128" s="301"/>
      <c r="N128" s="300">
        <f>+N134/((N99+L99)/2)</f>
        <v>6.3410396899639176E-2</v>
      </c>
      <c r="O128" s="300">
        <f>+O134/((O99+N99)/2)</f>
        <v>5.9824114788243461E-2</v>
      </c>
      <c r="P128" s="300">
        <f>+P134/((P99+O99)/2)</f>
        <v>5.609465656591249E-2</v>
      </c>
      <c r="Q128" s="300">
        <f>+Q134/((Q99+P99)/2)</f>
        <v>5.349929031553663E-2</v>
      </c>
      <c r="R128" s="301"/>
      <c r="S128" s="336"/>
      <c r="T128" s="336"/>
      <c r="U128" s="337"/>
      <c r="V128" s="337"/>
      <c r="W128" s="191"/>
      <c r="X128" s="336"/>
      <c r="Y128" s="336"/>
      <c r="Z128" s="337"/>
      <c r="AA128" s="337"/>
      <c r="AB128" s="191"/>
      <c r="AC128" s="336"/>
      <c r="AD128" s="336"/>
      <c r="AE128" s="337"/>
      <c r="AF128" s="337"/>
      <c r="AG128" s="191"/>
      <c r="AH128" s="336"/>
      <c r="AI128" s="336"/>
      <c r="AJ128" s="337"/>
      <c r="AK128" s="337"/>
      <c r="AL128" s="191"/>
      <c r="AM128" s="336"/>
      <c r="AN128" s="336"/>
      <c r="AO128" s="337"/>
      <c r="AP128" s="337"/>
      <c r="AQ128" s="338"/>
    </row>
    <row r="129" spans="2:43" x14ac:dyDescent="0.25">
      <c r="B129" s="35"/>
      <c r="C129" s="35"/>
      <c r="D129" s="43"/>
      <c r="H129" s="56"/>
      <c r="M129" s="25"/>
      <c r="N129" s="25"/>
      <c r="O129" s="57"/>
      <c r="S129" s="21"/>
      <c r="T129" s="19"/>
      <c r="U129" s="19"/>
      <c r="V129" s="19"/>
    </row>
    <row r="130" spans="2:43" ht="15.75" x14ac:dyDescent="0.25">
      <c r="B130" s="374" t="s">
        <v>191</v>
      </c>
      <c r="C130" s="375"/>
      <c r="D130" s="67" t="s">
        <v>152</v>
      </c>
      <c r="E130" s="67" t="s">
        <v>153</v>
      </c>
      <c r="F130" s="67" t="s">
        <v>154</v>
      </c>
      <c r="G130" s="67" t="s">
        <v>155</v>
      </c>
      <c r="H130" s="176" t="s">
        <v>155</v>
      </c>
      <c r="I130" s="67" t="s">
        <v>139</v>
      </c>
      <c r="J130" s="67" t="s">
        <v>144</v>
      </c>
      <c r="K130" s="67" t="s">
        <v>145</v>
      </c>
      <c r="L130" s="67" t="s">
        <v>146</v>
      </c>
      <c r="M130" s="176" t="s">
        <v>146</v>
      </c>
      <c r="N130" s="67" t="s">
        <v>141</v>
      </c>
      <c r="O130" s="67" t="s">
        <v>140</v>
      </c>
      <c r="P130" s="67" t="s">
        <v>142</v>
      </c>
      <c r="Q130" s="67" t="s">
        <v>143</v>
      </c>
      <c r="R130" s="176" t="s">
        <v>143</v>
      </c>
      <c r="S130" s="69" t="s">
        <v>161</v>
      </c>
      <c r="T130" s="69" t="s">
        <v>162</v>
      </c>
      <c r="U130" s="69" t="s">
        <v>163</v>
      </c>
      <c r="V130" s="69" t="s">
        <v>164</v>
      </c>
      <c r="W130" s="180" t="s">
        <v>164</v>
      </c>
      <c r="X130" s="69" t="s">
        <v>165</v>
      </c>
      <c r="Y130" s="69" t="s">
        <v>166</v>
      </c>
      <c r="Z130" s="69" t="s">
        <v>167</v>
      </c>
      <c r="AA130" s="69" t="s">
        <v>168</v>
      </c>
      <c r="AB130" s="180" t="s">
        <v>168</v>
      </c>
      <c r="AC130" s="69" t="s">
        <v>169</v>
      </c>
      <c r="AD130" s="69" t="s">
        <v>170</v>
      </c>
      <c r="AE130" s="69" t="s">
        <v>171</v>
      </c>
      <c r="AF130" s="69" t="s">
        <v>172</v>
      </c>
      <c r="AG130" s="180" t="s">
        <v>172</v>
      </c>
      <c r="AH130" s="69" t="s">
        <v>173</v>
      </c>
      <c r="AI130" s="69" t="s">
        <v>174</v>
      </c>
      <c r="AJ130" s="69" t="s">
        <v>175</v>
      </c>
      <c r="AK130" s="69" t="s">
        <v>176</v>
      </c>
      <c r="AL130" s="180" t="s">
        <v>176</v>
      </c>
      <c r="AM130" s="69" t="s">
        <v>177</v>
      </c>
      <c r="AN130" s="69" t="s">
        <v>178</v>
      </c>
      <c r="AO130" s="69" t="s">
        <v>179</v>
      </c>
      <c r="AP130" s="69" t="s">
        <v>180</v>
      </c>
      <c r="AQ130" s="180" t="s">
        <v>180</v>
      </c>
    </row>
    <row r="131" spans="2:43" ht="17.25" x14ac:dyDescent="0.4">
      <c r="B131" s="145" t="s">
        <v>3</v>
      </c>
      <c r="C131" s="182"/>
      <c r="D131" s="68" t="s">
        <v>156</v>
      </c>
      <c r="E131" s="68" t="s">
        <v>157</v>
      </c>
      <c r="F131" s="68" t="s">
        <v>158</v>
      </c>
      <c r="G131" s="68" t="s">
        <v>159</v>
      </c>
      <c r="H131" s="177" t="s">
        <v>160</v>
      </c>
      <c r="I131" s="68" t="s">
        <v>147</v>
      </c>
      <c r="J131" s="68" t="s">
        <v>148</v>
      </c>
      <c r="K131" s="68" t="s">
        <v>149</v>
      </c>
      <c r="L131" s="68" t="s">
        <v>150</v>
      </c>
      <c r="M131" s="177" t="s">
        <v>151</v>
      </c>
      <c r="N131" s="68" t="s">
        <v>138</v>
      </c>
      <c r="O131" s="68" t="s">
        <v>137</v>
      </c>
      <c r="P131" s="68" t="s">
        <v>136</v>
      </c>
      <c r="Q131" s="68" t="s">
        <v>135</v>
      </c>
      <c r="R131" s="177" t="s">
        <v>134</v>
      </c>
      <c r="S131" s="66" t="s">
        <v>273</v>
      </c>
      <c r="T131" s="66" t="s">
        <v>274</v>
      </c>
      <c r="U131" s="66" t="s">
        <v>275</v>
      </c>
      <c r="V131" s="66" t="s">
        <v>276</v>
      </c>
      <c r="W131" s="181" t="s">
        <v>277</v>
      </c>
      <c r="X131" s="66" t="s">
        <v>278</v>
      </c>
      <c r="Y131" s="66" t="s">
        <v>279</v>
      </c>
      <c r="Z131" s="66" t="s">
        <v>280</v>
      </c>
      <c r="AA131" s="66" t="s">
        <v>281</v>
      </c>
      <c r="AB131" s="181" t="s">
        <v>282</v>
      </c>
      <c r="AC131" s="66" t="s">
        <v>283</v>
      </c>
      <c r="AD131" s="66" t="s">
        <v>284</v>
      </c>
      <c r="AE131" s="66" t="s">
        <v>285</v>
      </c>
      <c r="AF131" s="66" t="s">
        <v>286</v>
      </c>
      <c r="AG131" s="181" t="s">
        <v>287</v>
      </c>
      <c r="AH131" s="66" t="s">
        <v>288</v>
      </c>
      <c r="AI131" s="66" t="s">
        <v>289</v>
      </c>
      <c r="AJ131" s="66" t="s">
        <v>290</v>
      </c>
      <c r="AK131" s="66" t="s">
        <v>291</v>
      </c>
      <c r="AL131" s="181" t="s">
        <v>292</v>
      </c>
      <c r="AM131" s="66" t="s">
        <v>293</v>
      </c>
      <c r="AN131" s="66" t="s">
        <v>294</v>
      </c>
      <c r="AO131" s="66" t="s">
        <v>295</v>
      </c>
      <c r="AP131" s="66" t="s">
        <v>296</v>
      </c>
      <c r="AQ131" s="181" t="s">
        <v>297</v>
      </c>
    </row>
    <row r="132" spans="2:43" outlineLevel="1" x14ac:dyDescent="0.25">
      <c r="B132" s="401" t="s">
        <v>12</v>
      </c>
      <c r="C132" s="402"/>
      <c r="D132" s="50"/>
      <c r="E132" s="50"/>
      <c r="F132" s="50"/>
      <c r="G132" s="50"/>
      <c r="H132" s="29"/>
      <c r="I132" s="50"/>
      <c r="J132" s="70"/>
      <c r="K132" s="50"/>
      <c r="L132" s="50"/>
      <c r="M132" s="29"/>
      <c r="N132" s="50"/>
      <c r="O132" s="50"/>
      <c r="P132" s="50"/>
      <c r="Q132" s="50"/>
      <c r="R132" s="29"/>
      <c r="S132" s="50"/>
      <c r="T132" s="50"/>
      <c r="U132" s="50"/>
      <c r="V132" s="50"/>
      <c r="W132" s="29"/>
      <c r="X132" s="349"/>
      <c r="Y132" s="28"/>
      <c r="Z132" s="28"/>
      <c r="AA132" s="28"/>
      <c r="AB132" s="339"/>
      <c r="AC132" s="28"/>
      <c r="AD132" s="28"/>
      <c r="AE132" s="28"/>
      <c r="AF132" s="28"/>
      <c r="AG132" s="339"/>
      <c r="AH132" s="28"/>
      <c r="AI132" s="28"/>
      <c r="AJ132" s="28"/>
      <c r="AK132" s="28"/>
      <c r="AL132" s="339"/>
      <c r="AM132" s="28"/>
      <c r="AN132" s="28"/>
      <c r="AO132" s="28"/>
      <c r="AP132" s="28"/>
      <c r="AQ132" s="339"/>
    </row>
    <row r="133" spans="2:43" outlineLevel="1" x14ac:dyDescent="0.25">
      <c r="B133" s="294" t="s">
        <v>13</v>
      </c>
      <c r="C133" s="295"/>
      <c r="D133" s="70">
        <f t="shared" ref="D133:R133" si="162">D25</f>
        <v>1510</v>
      </c>
      <c r="E133" s="70">
        <f t="shared" si="162"/>
        <v>2055</v>
      </c>
      <c r="F133" s="70">
        <f t="shared" si="162"/>
        <v>2379</v>
      </c>
      <c r="G133" s="70">
        <f t="shared" si="162"/>
        <v>4273</v>
      </c>
      <c r="H133" s="71">
        <f t="shared" si="162"/>
        <v>10217</v>
      </c>
      <c r="I133" s="70">
        <f t="shared" si="162"/>
        <v>3064</v>
      </c>
      <c r="J133" s="70">
        <f t="shared" si="162"/>
        <v>3894</v>
      </c>
      <c r="K133" s="70">
        <f t="shared" si="162"/>
        <v>4707</v>
      </c>
      <c r="L133" s="70">
        <f t="shared" si="162"/>
        <v>4268</v>
      </c>
      <c r="M133" s="71">
        <f t="shared" si="162"/>
        <v>15933</v>
      </c>
      <c r="N133" s="70">
        <f t="shared" si="162"/>
        <v>4988</v>
      </c>
      <c r="O133" s="70">
        <f t="shared" si="162"/>
        <v>5106</v>
      </c>
      <c r="P133" s="70">
        <f t="shared" si="162"/>
        <v>5137</v>
      </c>
      <c r="Q133" s="70">
        <f t="shared" si="162"/>
        <v>6882</v>
      </c>
      <c r="R133" s="71">
        <f t="shared" si="162"/>
        <v>22113</v>
      </c>
      <c r="S133" s="77"/>
      <c r="T133" s="77"/>
      <c r="U133" s="77"/>
      <c r="V133" s="77"/>
      <c r="W133" s="88"/>
      <c r="X133" s="350"/>
      <c r="Y133" s="77"/>
      <c r="Z133" s="77"/>
      <c r="AA133" s="77"/>
      <c r="AB133" s="88"/>
      <c r="AC133" s="77"/>
      <c r="AD133" s="77"/>
      <c r="AE133" s="77"/>
      <c r="AF133" s="77"/>
      <c r="AG133" s="88"/>
      <c r="AH133" s="77"/>
      <c r="AI133" s="77"/>
      <c r="AJ133" s="77"/>
      <c r="AK133" s="77"/>
      <c r="AL133" s="88"/>
      <c r="AM133" s="77"/>
      <c r="AN133" s="77"/>
      <c r="AO133" s="77"/>
      <c r="AP133" s="77"/>
      <c r="AQ133" s="88"/>
    </row>
    <row r="134" spans="2:43" outlineLevel="1" x14ac:dyDescent="0.25">
      <c r="B134" s="294" t="s">
        <v>87</v>
      </c>
      <c r="C134" s="295"/>
      <c r="D134" s="77">
        <v>552</v>
      </c>
      <c r="E134" s="70">
        <v>585</v>
      </c>
      <c r="F134" s="70">
        <v>591</v>
      </c>
      <c r="G134" s="70">
        <v>614</v>
      </c>
      <c r="H134" s="71">
        <f t="shared" ref="H134:H140" si="163">SUM(D134:G134)</f>
        <v>2342</v>
      </c>
      <c r="I134" s="77">
        <v>671</v>
      </c>
      <c r="J134" s="70">
        <v>729</v>
      </c>
      <c r="K134" s="70">
        <v>773</v>
      </c>
      <c r="L134" s="70">
        <f>3025-K134-J134-I134</f>
        <v>852</v>
      </c>
      <c r="M134" s="71">
        <f t="shared" ref="M134:M140" si="164">SUM(I134:L134)</f>
        <v>3025</v>
      </c>
      <c r="N134" s="77">
        <v>949</v>
      </c>
      <c r="O134" s="70">
        <f>1983-N134</f>
        <v>1034</v>
      </c>
      <c r="P134" s="77">
        <f>3090-O134-N134</f>
        <v>1107</v>
      </c>
      <c r="Q134" s="77">
        <f>4315-P134-O134-N134</f>
        <v>1225</v>
      </c>
      <c r="R134" s="71">
        <f t="shared" ref="R134:R140" si="165">SUM(N134:Q134)</f>
        <v>4315</v>
      </c>
      <c r="S134" s="77"/>
      <c r="T134" s="77"/>
      <c r="U134" s="77"/>
      <c r="V134" s="77"/>
      <c r="W134" s="88"/>
      <c r="X134" s="350"/>
      <c r="Y134" s="77"/>
      <c r="Z134" s="77"/>
      <c r="AA134" s="77"/>
      <c r="AB134" s="88"/>
      <c r="AC134" s="77"/>
      <c r="AD134" s="77"/>
      <c r="AE134" s="77"/>
      <c r="AF134" s="77"/>
      <c r="AG134" s="88"/>
      <c r="AH134" s="77"/>
      <c r="AI134" s="77"/>
      <c r="AJ134" s="77"/>
      <c r="AK134" s="77"/>
      <c r="AL134" s="88"/>
      <c r="AM134" s="77"/>
      <c r="AN134" s="77"/>
      <c r="AO134" s="77"/>
      <c r="AP134" s="77"/>
      <c r="AQ134" s="88"/>
    </row>
    <row r="135" spans="2:43" outlineLevel="1" x14ac:dyDescent="0.25">
      <c r="B135" s="294" t="s">
        <v>220</v>
      </c>
      <c r="C135" s="295"/>
      <c r="D135" s="77">
        <v>0</v>
      </c>
      <c r="E135" s="70">
        <v>0</v>
      </c>
      <c r="F135" s="70">
        <v>0</v>
      </c>
      <c r="G135" s="70">
        <v>0</v>
      </c>
      <c r="H135" s="71">
        <f t="shared" si="163"/>
        <v>0</v>
      </c>
      <c r="I135" s="77">
        <v>0</v>
      </c>
      <c r="J135" s="70">
        <v>0</v>
      </c>
      <c r="K135" s="70">
        <v>0</v>
      </c>
      <c r="L135" s="70">
        <f t="shared" ref="L135:L139" si="166">0-K135-J135-I135</f>
        <v>0</v>
      </c>
      <c r="M135" s="71">
        <f t="shared" si="164"/>
        <v>0</v>
      </c>
      <c r="N135" s="77">
        <v>0</v>
      </c>
      <c r="O135" s="70">
        <v>0</v>
      </c>
      <c r="P135" s="70">
        <v>0</v>
      </c>
      <c r="Q135" s="77">
        <v>0</v>
      </c>
      <c r="R135" s="71">
        <f t="shared" si="165"/>
        <v>0</v>
      </c>
      <c r="S135" s="77"/>
      <c r="T135" s="77"/>
      <c r="U135" s="77"/>
      <c r="V135" s="77"/>
      <c r="W135" s="88"/>
      <c r="X135" s="350"/>
      <c r="Y135" s="77"/>
      <c r="Z135" s="77"/>
      <c r="AA135" s="77"/>
      <c r="AB135" s="88"/>
      <c r="AC135" s="77"/>
      <c r="AD135" s="77"/>
      <c r="AE135" s="77"/>
      <c r="AF135" s="77"/>
      <c r="AG135" s="88"/>
      <c r="AH135" s="77"/>
      <c r="AI135" s="77"/>
      <c r="AJ135" s="77"/>
      <c r="AK135" s="77"/>
      <c r="AL135" s="88"/>
      <c r="AM135" s="77"/>
      <c r="AN135" s="77"/>
      <c r="AO135" s="77"/>
      <c r="AP135" s="77"/>
      <c r="AQ135" s="88"/>
    </row>
    <row r="136" spans="2:43" outlineLevel="1" x14ac:dyDescent="0.25">
      <c r="B136" s="294" t="s">
        <v>221</v>
      </c>
      <c r="C136" s="295"/>
      <c r="D136" s="70">
        <v>747</v>
      </c>
      <c r="E136" s="70">
        <v>805</v>
      </c>
      <c r="F136" s="70">
        <v>819</v>
      </c>
      <c r="G136" s="70">
        <f>3218-F136-E136-D136</f>
        <v>847</v>
      </c>
      <c r="H136" s="71">
        <f t="shared" si="163"/>
        <v>3218</v>
      </c>
      <c r="I136" s="70">
        <v>867</v>
      </c>
      <c r="J136" s="70">
        <v>1032</v>
      </c>
      <c r="K136" s="70">
        <v>1010</v>
      </c>
      <c r="L136" s="70">
        <f>3723-K136-J136-I136</f>
        <v>814</v>
      </c>
      <c r="M136" s="71">
        <f t="shared" si="164"/>
        <v>3723</v>
      </c>
      <c r="N136" s="70">
        <v>955</v>
      </c>
      <c r="O136" s="70">
        <f>2141-N136</f>
        <v>1186</v>
      </c>
      <c r="P136" s="70">
        <f>3180-O136-N136</f>
        <v>1039</v>
      </c>
      <c r="Q136" s="70">
        <f>4152-P136-O136-N136</f>
        <v>972</v>
      </c>
      <c r="R136" s="71">
        <f t="shared" si="165"/>
        <v>4152</v>
      </c>
      <c r="S136" s="77"/>
      <c r="T136" s="77"/>
      <c r="U136" s="77"/>
      <c r="V136" s="77"/>
      <c r="W136" s="88"/>
      <c r="X136" s="350"/>
      <c r="Y136" s="77"/>
      <c r="Z136" s="77"/>
      <c r="AA136" s="77"/>
      <c r="AB136" s="88"/>
      <c r="AC136" s="77"/>
      <c r="AD136" s="77"/>
      <c r="AE136" s="77"/>
      <c r="AF136" s="77"/>
      <c r="AG136" s="88"/>
      <c r="AH136" s="77"/>
      <c r="AI136" s="77"/>
      <c r="AJ136" s="77"/>
      <c r="AK136" s="77"/>
      <c r="AL136" s="88"/>
      <c r="AM136" s="77"/>
      <c r="AN136" s="77"/>
      <c r="AO136" s="77"/>
      <c r="AP136" s="77"/>
      <c r="AQ136" s="88"/>
    </row>
    <row r="137" spans="2:43" outlineLevel="1" x14ac:dyDescent="0.25">
      <c r="B137" s="294" t="s">
        <v>84</v>
      </c>
      <c r="C137" s="295"/>
      <c r="D137" s="70">
        <v>-65</v>
      </c>
      <c r="E137" s="70">
        <v>-77</v>
      </c>
      <c r="F137" s="70">
        <v>19</v>
      </c>
      <c r="G137" s="70">
        <f>-457-F137-E137-D137</f>
        <v>-334</v>
      </c>
      <c r="H137" s="71">
        <f t="shared" si="163"/>
        <v>-457</v>
      </c>
      <c r="I137" s="70">
        <v>-84</v>
      </c>
      <c r="J137" s="70">
        <v>26</v>
      </c>
      <c r="K137" s="70">
        <v>-94</v>
      </c>
      <c r="L137" s="70">
        <f>-377-K137-J137-I137</f>
        <v>-225</v>
      </c>
      <c r="M137" s="71">
        <f t="shared" si="164"/>
        <v>-377</v>
      </c>
      <c r="N137" s="70">
        <v>-47</v>
      </c>
      <c r="O137" s="70">
        <f>54-N137</f>
        <v>101</v>
      </c>
      <c r="P137" s="70">
        <f>83-O137-N137</f>
        <v>29</v>
      </c>
      <c r="Q137" s="70">
        <f>286-P137-O137-N137</f>
        <v>203</v>
      </c>
      <c r="R137" s="71">
        <f t="shared" si="165"/>
        <v>286</v>
      </c>
      <c r="S137" s="77"/>
      <c r="T137" s="77"/>
      <c r="U137" s="77"/>
      <c r="V137" s="77"/>
      <c r="W137" s="88"/>
      <c r="X137" s="350"/>
      <c r="Y137" s="77"/>
      <c r="Z137" s="77"/>
      <c r="AA137" s="77"/>
      <c r="AB137" s="88"/>
      <c r="AC137" s="77"/>
      <c r="AD137" s="77"/>
      <c r="AE137" s="77"/>
      <c r="AF137" s="77"/>
      <c r="AG137" s="88"/>
      <c r="AH137" s="77"/>
      <c r="AI137" s="77"/>
      <c r="AJ137" s="77"/>
      <c r="AK137" s="77"/>
      <c r="AL137" s="88"/>
      <c r="AM137" s="77"/>
      <c r="AN137" s="77"/>
      <c r="AO137" s="77"/>
      <c r="AP137" s="77"/>
      <c r="AQ137" s="88"/>
    </row>
    <row r="138" spans="2:43" outlineLevel="1" x14ac:dyDescent="0.25">
      <c r="B138" s="294" t="s">
        <v>222</v>
      </c>
      <c r="C138" s="295"/>
      <c r="D138" s="70">
        <v>494</v>
      </c>
      <c r="E138" s="70">
        <v>467</v>
      </c>
      <c r="F138" s="70">
        <v>459</v>
      </c>
      <c r="G138" s="70">
        <f>0-F138-E138-D138</f>
        <v>-1420</v>
      </c>
      <c r="H138" s="71">
        <f t="shared" si="163"/>
        <v>0</v>
      </c>
      <c r="I138" s="70">
        <v>0</v>
      </c>
      <c r="J138" s="70">
        <v>0</v>
      </c>
      <c r="K138" s="70">
        <v>0</v>
      </c>
      <c r="L138" s="70">
        <f t="shared" si="166"/>
        <v>0</v>
      </c>
      <c r="M138" s="71">
        <f t="shared" si="164"/>
        <v>0</v>
      </c>
      <c r="N138" s="70">
        <v>0</v>
      </c>
      <c r="O138" s="70">
        <f t="shared" ref="O138:O139" si="167">0-N138</f>
        <v>0</v>
      </c>
      <c r="P138" s="70">
        <v>0</v>
      </c>
      <c r="Q138" s="70">
        <f t="shared" ref="Q138:Q139" si="168">0-P138-O138-N138</f>
        <v>0</v>
      </c>
      <c r="R138" s="71">
        <f t="shared" si="165"/>
        <v>0</v>
      </c>
      <c r="S138" s="77"/>
      <c r="T138" s="77"/>
      <c r="U138" s="77"/>
      <c r="V138" s="77"/>
      <c r="W138" s="88"/>
      <c r="X138" s="350"/>
      <c r="Y138" s="77"/>
      <c r="Z138" s="77"/>
      <c r="AA138" s="77"/>
      <c r="AB138" s="88"/>
      <c r="AC138" s="77"/>
      <c r="AD138" s="77"/>
      <c r="AE138" s="77"/>
      <c r="AF138" s="77"/>
      <c r="AG138" s="88"/>
      <c r="AH138" s="77"/>
      <c r="AI138" s="77"/>
      <c r="AJ138" s="77"/>
      <c r="AK138" s="77"/>
      <c r="AL138" s="88"/>
      <c r="AM138" s="77"/>
      <c r="AN138" s="77"/>
      <c r="AO138" s="77"/>
      <c r="AP138" s="77"/>
      <c r="AQ138" s="88"/>
    </row>
    <row r="139" spans="2:43" outlineLevel="1" x14ac:dyDescent="0.25">
      <c r="B139" s="294" t="s">
        <v>223</v>
      </c>
      <c r="C139" s="295"/>
      <c r="D139" s="70">
        <v>-494</v>
      </c>
      <c r="E139" s="70">
        <v>-467</v>
      </c>
      <c r="F139" s="70">
        <v>-459</v>
      </c>
      <c r="G139" s="70">
        <f>0-F139-E139-D139</f>
        <v>1420</v>
      </c>
      <c r="H139" s="71">
        <f t="shared" si="163"/>
        <v>0</v>
      </c>
      <c r="I139" s="70">
        <v>0</v>
      </c>
      <c r="J139" s="70">
        <v>0</v>
      </c>
      <c r="K139" s="70">
        <v>0</v>
      </c>
      <c r="L139" s="70">
        <f t="shared" si="166"/>
        <v>0</v>
      </c>
      <c r="M139" s="71">
        <f t="shared" si="164"/>
        <v>0</v>
      </c>
      <c r="N139" s="70">
        <v>0</v>
      </c>
      <c r="O139" s="70">
        <f t="shared" si="167"/>
        <v>0</v>
      </c>
      <c r="P139" s="70">
        <v>0</v>
      </c>
      <c r="Q139" s="70">
        <f t="shared" si="168"/>
        <v>0</v>
      </c>
      <c r="R139" s="71">
        <f t="shared" si="165"/>
        <v>0</v>
      </c>
      <c r="S139" s="77"/>
      <c r="T139" s="77"/>
      <c r="U139" s="77"/>
      <c r="V139" s="77"/>
      <c r="W139" s="88"/>
      <c r="X139" s="350"/>
      <c r="Y139" s="77"/>
      <c r="Z139" s="77"/>
      <c r="AA139" s="77"/>
      <c r="AB139" s="88"/>
      <c r="AC139" s="77"/>
      <c r="AD139" s="77"/>
      <c r="AE139" s="77"/>
      <c r="AF139" s="77"/>
      <c r="AG139" s="88"/>
      <c r="AH139" s="77"/>
      <c r="AI139" s="77"/>
      <c r="AJ139" s="77"/>
      <c r="AK139" s="77"/>
      <c r="AL139" s="88"/>
      <c r="AM139" s="77"/>
      <c r="AN139" s="77"/>
      <c r="AO139" s="77"/>
      <c r="AP139" s="77"/>
      <c r="AQ139" s="88"/>
    </row>
    <row r="140" spans="2:43" outlineLevel="1" x14ac:dyDescent="0.25">
      <c r="B140" s="296" t="s">
        <v>224</v>
      </c>
      <c r="C140" s="297"/>
      <c r="D140" s="70">
        <v>13</v>
      </c>
      <c r="E140" s="70">
        <v>6</v>
      </c>
      <c r="F140" s="70">
        <v>4</v>
      </c>
      <c r="G140" s="70">
        <v>7</v>
      </c>
      <c r="H140" s="71">
        <f t="shared" si="163"/>
        <v>30</v>
      </c>
      <c r="I140" s="70">
        <v>5</v>
      </c>
      <c r="J140" s="70">
        <v>7</v>
      </c>
      <c r="K140" s="70">
        <v>7</v>
      </c>
      <c r="L140" s="70">
        <f>24-K140-J140-I140</f>
        <v>5</v>
      </c>
      <c r="M140" s="71">
        <f t="shared" si="164"/>
        <v>24</v>
      </c>
      <c r="N140" s="70">
        <v>8</v>
      </c>
      <c r="O140" s="70">
        <f>18-N140</f>
        <v>10</v>
      </c>
      <c r="P140" s="70">
        <f>19-O140-N140</f>
        <v>1</v>
      </c>
      <c r="Q140" s="70">
        <f>-64-P140-O140-N140</f>
        <v>-83</v>
      </c>
      <c r="R140" s="71">
        <f t="shared" si="165"/>
        <v>-64</v>
      </c>
      <c r="S140" s="350"/>
      <c r="T140" s="77"/>
      <c r="U140" s="77"/>
      <c r="V140" s="77"/>
      <c r="W140" s="88"/>
      <c r="X140" s="350"/>
      <c r="Y140" s="77"/>
      <c r="Z140" s="77"/>
      <c r="AA140" s="77"/>
      <c r="AB140" s="88"/>
      <c r="AC140" s="77"/>
      <c r="AD140" s="77"/>
      <c r="AE140" s="77"/>
      <c r="AF140" s="77"/>
      <c r="AG140" s="88"/>
      <c r="AH140" s="77"/>
      <c r="AI140" s="77"/>
      <c r="AJ140" s="77"/>
      <c r="AK140" s="77"/>
      <c r="AL140" s="88"/>
      <c r="AM140" s="77"/>
      <c r="AN140" s="77"/>
      <c r="AO140" s="77"/>
      <c r="AP140" s="77"/>
      <c r="AQ140" s="88"/>
    </row>
    <row r="141" spans="2:43" outlineLevel="1" x14ac:dyDescent="0.25">
      <c r="B141" s="372" t="s">
        <v>88</v>
      </c>
      <c r="C141" s="373"/>
      <c r="D141" s="162"/>
      <c r="E141" s="162"/>
      <c r="F141" s="162"/>
      <c r="G141" s="162"/>
      <c r="H141" s="163"/>
      <c r="I141" s="162"/>
      <c r="J141" s="162"/>
      <c r="K141" s="162"/>
      <c r="L141" s="162"/>
      <c r="M141" s="163"/>
      <c r="N141" s="162"/>
      <c r="O141" s="162"/>
      <c r="P141" s="162"/>
      <c r="Q141" s="162"/>
      <c r="R141" s="163"/>
      <c r="S141" s="349"/>
      <c r="T141" s="28"/>
      <c r="U141" s="28"/>
      <c r="V141" s="28"/>
      <c r="W141" s="88"/>
      <c r="X141" s="349"/>
      <c r="Y141" s="28"/>
      <c r="Z141" s="28"/>
      <c r="AA141" s="28"/>
      <c r="AB141" s="88"/>
      <c r="AC141" s="28"/>
      <c r="AD141" s="28"/>
      <c r="AE141" s="28"/>
      <c r="AF141" s="28"/>
      <c r="AG141" s="88"/>
      <c r="AH141" s="28"/>
      <c r="AI141" s="28"/>
      <c r="AJ141" s="28"/>
      <c r="AK141" s="28"/>
      <c r="AL141" s="88"/>
      <c r="AM141" s="28"/>
      <c r="AN141" s="28"/>
      <c r="AO141" s="28"/>
      <c r="AP141" s="28"/>
      <c r="AQ141" s="88"/>
    </row>
    <row r="142" spans="2:43" outlineLevel="1" x14ac:dyDescent="0.25">
      <c r="B142" s="370" t="s">
        <v>225</v>
      </c>
      <c r="C142" s="371"/>
      <c r="D142" s="164">
        <v>267</v>
      </c>
      <c r="E142" s="164">
        <v>-492</v>
      </c>
      <c r="F142" s="164">
        <v>-253</v>
      </c>
      <c r="G142" s="164">
        <v>-1011</v>
      </c>
      <c r="H142" s="165">
        <f>SUM(D142:G142)</f>
        <v>-1489</v>
      </c>
      <c r="I142" s="164">
        <v>609</v>
      </c>
      <c r="J142" s="164">
        <v>-386</v>
      </c>
      <c r="K142" s="164">
        <v>-458</v>
      </c>
      <c r="L142" s="164">
        <f>-1609-K142-J142-I142</f>
        <v>-1374</v>
      </c>
      <c r="M142" s="165">
        <f>SUM(I142:L142)</f>
        <v>-1609</v>
      </c>
      <c r="N142" s="164">
        <v>788</v>
      </c>
      <c r="O142" s="164">
        <f>161-N142</f>
        <v>-627</v>
      </c>
      <c r="P142" s="164">
        <f>-328-O142-N142</f>
        <v>-489</v>
      </c>
      <c r="Q142" s="164">
        <f>-1892-P142-O142-N142</f>
        <v>-1564</v>
      </c>
      <c r="R142" s="165">
        <f>SUM(N142:Q142)</f>
        <v>-1892</v>
      </c>
      <c r="S142" s="350"/>
      <c r="T142" s="77"/>
      <c r="U142" s="77"/>
      <c r="V142" s="77"/>
      <c r="W142" s="88"/>
      <c r="X142" s="350"/>
      <c r="Y142" s="77"/>
      <c r="Z142" s="77"/>
      <c r="AA142" s="77"/>
      <c r="AB142" s="88"/>
      <c r="AC142" s="77"/>
      <c r="AD142" s="77"/>
      <c r="AE142" s="77"/>
      <c r="AF142" s="77"/>
      <c r="AG142" s="88"/>
      <c r="AH142" s="77"/>
      <c r="AI142" s="77"/>
      <c r="AJ142" s="77"/>
      <c r="AK142" s="77"/>
      <c r="AL142" s="88"/>
      <c r="AM142" s="77"/>
      <c r="AN142" s="77"/>
      <c r="AO142" s="77"/>
      <c r="AP142" s="77"/>
      <c r="AQ142" s="88"/>
    </row>
    <row r="143" spans="2:43" outlineLevel="1" x14ac:dyDescent="0.25">
      <c r="B143" s="370" t="s">
        <v>90</v>
      </c>
      <c r="C143" s="371"/>
      <c r="D143" s="164">
        <v>-106</v>
      </c>
      <c r="E143" s="164">
        <v>-154</v>
      </c>
      <c r="F143" s="164">
        <v>-51</v>
      </c>
      <c r="G143" s="164">
        <f>-159-F143-E143-D143</f>
        <v>152</v>
      </c>
      <c r="H143" s="165">
        <f t="shared" ref="H143:H148" si="169">SUM(D143:G143)</f>
        <v>-159</v>
      </c>
      <c r="I143" s="164">
        <v>-365</v>
      </c>
      <c r="J143" s="164">
        <v>-212</v>
      </c>
      <c r="K143" s="164">
        <v>-57</v>
      </c>
      <c r="L143" s="164">
        <f>-192-K143-J143-I143</f>
        <v>442</v>
      </c>
      <c r="M143" s="165">
        <f>SUM(I143:L143)</f>
        <v>-192</v>
      </c>
      <c r="N143" s="164">
        <v>-365</v>
      </c>
      <c r="O143" s="164">
        <f>-898-N143</f>
        <v>-533</v>
      </c>
      <c r="P143" s="164">
        <f>-889-O143-N143</f>
        <v>9</v>
      </c>
      <c r="Q143" s="164">
        <f>-690-P143-O143-N143</f>
        <v>199</v>
      </c>
      <c r="R143" s="165">
        <f>SUM(N143:Q143)</f>
        <v>-690</v>
      </c>
      <c r="S143" s="350"/>
      <c r="T143" s="77"/>
      <c r="U143" s="77"/>
      <c r="V143" s="77"/>
      <c r="W143" s="88"/>
      <c r="X143" s="350"/>
      <c r="Y143" s="77"/>
      <c r="Z143" s="77"/>
      <c r="AA143" s="77"/>
      <c r="AB143" s="88"/>
      <c r="AC143" s="77"/>
      <c r="AD143" s="77"/>
      <c r="AE143" s="77"/>
      <c r="AF143" s="77"/>
      <c r="AG143" s="88"/>
      <c r="AH143" s="77"/>
      <c r="AI143" s="77"/>
      <c r="AJ143" s="77"/>
      <c r="AK143" s="77"/>
      <c r="AL143" s="88"/>
      <c r="AM143" s="77"/>
      <c r="AN143" s="77"/>
      <c r="AO143" s="77"/>
      <c r="AP143" s="77"/>
      <c r="AQ143" s="88"/>
    </row>
    <row r="144" spans="2:43" outlineLevel="1" x14ac:dyDescent="0.25">
      <c r="B144" s="103" t="s">
        <v>226</v>
      </c>
      <c r="C144" s="94"/>
      <c r="D144" s="164">
        <v>15</v>
      </c>
      <c r="E144" s="164">
        <v>-11</v>
      </c>
      <c r="F144" s="164">
        <v>42</v>
      </c>
      <c r="G144" s="164">
        <v>-32</v>
      </c>
      <c r="H144" s="165">
        <f t="shared" si="169"/>
        <v>14</v>
      </c>
      <c r="I144" s="164">
        <v>31</v>
      </c>
      <c r="J144" s="164">
        <v>51</v>
      </c>
      <c r="K144" s="164">
        <v>47</v>
      </c>
      <c r="L144" s="164">
        <f>154-K144-J144-I144</f>
        <v>25</v>
      </c>
      <c r="M144" s="165">
        <f>SUM(I144:L144)</f>
        <v>154</v>
      </c>
      <c r="N144" s="164">
        <v>22</v>
      </c>
      <c r="O144" s="164">
        <f>-59-N144</f>
        <v>-81</v>
      </c>
      <c r="P144" s="164">
        <f>-99-O144-N144</f>
        <v>-40</v>
      </c>
      <c r="Q144" s="164">
        <f>-159-P144-O144-N144</f>
        <v>-60</v>
      </c>
      <c r="R144" s="165">
        <f>SUM(N144:Q144)</f>
        <v>-159</v>
      </c>
      <c r="S144" s="350"/>
      <c r="T144" s="77"/>
      <c r="U144" s="77"/>
      <c r="V144" s="77"/>
      <c r="W144" s="88"/>
      <c r="X144" s="350"/>
      <c r="Y144" s="77"/>
      <c r="Z144" s="77"/>
      <c r="AA144" s="77"/>
      <c r="AB144" s="88"/>
      <c r="AC144" s="77"/>
      <c r="AD144" s="77"/>
      <c r="AE144" s="77"/>
      <c r="AF144" s="77"/>
      <c r="AG144" s="88"/>
      <c r="AH144" s="77"/>
      <c r="AI144" s="77"/>
      <c r="AJ144" s="77"/>
      <c r="AK144" s="77"/>
      <c r="AL144" s="88"/>
      <c r="AM144" s="77"/>
      <c r="AN144" s="77"/>
      <c r="AO144" s="77"/>
      <c r="AP144" s="77"/>
      <c r="AQ144" s="88"/>
    </row>
    <row r="145" spans="2:43" outlineLevel="1" x14ac:dyDescent="0.25">
      <c r="B145" s="370" t="s">
        <v>43</v>
      </c>
      <c r="C145" s="371"/>
      <c r="D145" s="164">
        <v>2</v>
      </c>
      <c r="E145" s="164">
        <v>-41</v>
      </c>
      <c r="F145" s="164">
        <v>18</v>
      </c>
      <c r="G145" s="164">
        <v>35</v>
      </c>
      <c r="H145" s="165">
        <f t="shared" si="169"/>
        <v>14</v>
      </c>
      <c r="I145" s="164">
        <v>-10</v>
      </c>
      <c r="J145" s="164">
        <v>-28</v>
      </c>
      <c r="K145" s="164">
        <v>31</v>
      </c>
      <c r="L145" s="164">
        <f>43-K145-J145-I145</f>
        <v>50</v>
      </c>
      <c r="M145" s="165">
        <f t="shared" ref="M145:M148" si="170">SUM(I145:L145)</f>
        <v>43</v>
      </c>
      <c r="N145" s="164">
        <v>1</v>
      </c>
      <c r="O145" s="164">
        <f>50-N145</f>
        <v>49</v>
      </c>
      <c r="P145" s="164">
        <f>88-O145-N145</f>
        <v>38</v>
      </c>
      <c r="Q145" s="164">
        <f>221-P145-O145-N145</f>
        <v>133</v>
      </c>
      <c r="R145" s="165">
        <f t="shared" ref="R145:R148" si="171">SUM(N145:Q145)</f>
        <v>221</v>
      </c>
      <c r="S145" s="350"/>
      <c r="T145" s="77"/>
      <c r="U145" s="77"/>
      <c r="V145" s="77"/>
      <c r="W145" s="88"/>
      <c r="X145" s="350"/>
      <c r="Y145" s="77"/>
      <c r="Z145" s="77"/>
      <c r="AA145" s="77"/>
      <c r="AB145" s="88"/>
      <c r="AC145" s="77"/>
      <c r="AD145" s="77"/>
      <c r="AE145" s="77"/>
      <c r="AF145" s="77"/>
      <c r="AG145" s="88"/>
      <c r="AH145" s="77"/>
      <c r="AI145" s="77"/>
      <c r="AJ145" s="77"/>
      <c r="AK145" s="77"/>
      <c r="AL145" s="88"/>
      <c r="AM145" s="77"/>
      <c r="AN145" s="77"/>
      <c r="AO145" s="77"/>
      <c r="AP145" s="77"/>
      <c r="AQ145" s="88"/>
    </row>
    <row r="146" spans="2:43" outlineLevel="1" x14ac:dyDescent="0.25">
      <c r="B146" s="260" t="s">
        <v>227</v>
      </c>
      <c r="C146" s="261"/>
      <c r="D146" s="164">
        <v>-3</v>
      </c>
      <c r="E146" s="164">
        <v>17</v>
      </c>
      <c r="F146" s="164">
        <v>6</v>
      </c>
      <c r="G146" s="164">
        <v>47</v>
      </c>
      <c r="H146" s="165">
        <f t="shared" si="169"/>
        <v>67</v>
      </c>
      <c r="I146" s="164">
        <v>-3</v>
      </c>
      <c r="J146" s="164">
        <v>-7</v>
      </c>
      <c r="K146" s="164">
        <v>32</v>
      </c>
      <c r="L146" s="164">
        <f>95-K146-J146-I146</f>
        <v>73</v>
      </c>
      <c r="M146" s="165">
        <f t="shared" si="170"/>
        <v>95</v>
      </c>
      <c r="N146" s="164">
        <v>2</v>
      </c>
      <c r="O146" s="164">
        <f>53-N146</f>
        <v>51</v>
      </c>
      <c r="P146" s="164">
        <f>116-O146-N146</f>
        <v>63</v>
      </c>
      <c r="Q146" s="164">
        <f>157-P146-O146-N146</f>
        <v>41</v>
      </c>
      <c r="R146" s="165">
        <f t="shared" si="171"/>
        <v>157</v>
      </c>
      <c r="S146" s="350"/>
      <c r="T146" s="77"/>
      <c r="U146" s="77"/>
      <c r="V146" s="77"/>
      <c r="W146" s="88"/>
      <c r="X146" s="350"/>
      <c r="Y146" s="77"/>
      <c r="Z146" s="77"/>
      <c r="AA146" s="77"/>
      <c r="AB146" s="88"/>
      <c r="AC146" s="77"/>
      <c r="AD146" s="77"/>
      <c r="AE146" s="77"/>
      <c r="AF146" s="77"/>
      <c r="AG146" s="88"/>
      <c r="AH146" s="77"/>
      <c r="AI146" s="77"/>
      <c r="AJ146" s="77"/>
      <c r="AK146" s="77"/>
      <c r="AL146" s="88"/>
      <c r="AM146" s="77"/>
      <c r="AN146" s="77"/>
      <c r="AO146" s="77"/>
      <c r="AP146" s="77"/>
      <c r="AQ146" s="88"/>
    </row>
    <row r="147" spans="2:43" outlineLevel="1" x14ac:dyDescent="0.25">
      <c r="B147" s="260" t="s">
        <v>228</v>
      </c>
      <c r="C147" s="261"/>
      <c r="D147" s="164">
        <v>-16</v>
      </c>
      <c r="E147" s="164">
        <v>438</v>
      </c>
      <c r="F147" s="164">
        <v>219</v>
      </c>
      <c r="G147" s="164">
        <f>1014-F147-E147-D147</f>
        <v>373</v>
      </c>
      <c r="H147" s="165">
        <f t="shared" si="169"/>
        <v>1014</v>
      </c>
      <c r="I147" s="164">
        <v>61</v>
      </c>
      <c r="J147" s="164">
        <v>96</v>
      </c>
      <c r="K147" s="164">
        <v>-62</v>
      </c>
      <c r="L147" s="164">
        <f>309-K147-J147-I147</f>
        <v>214</v>
      </c>
      <c r="M147" s="165">
        <f t="shared" si="170"/>
        <v>309</v>
      </c>
      <c r="N147" s="164">
        <v>707</v>
      </c>
      <c r="O147" s="164">
        <f>690-N147</f>
        <v>-17</v>
      </c>
      <c r="P147" s="164">
        <f>1044-O147-N147</f>
        <v>354</v>
      </c>
      <c r="Q147" s="164">
        <f>1417-P147-O147-N147</f>
        <v>373</v>
      </c>
      <c r="R147" s="165">
        <f t="shared" si="171"/>
        <v>1417</v>
      </c>
      <c r="S147" s="350"/>
      <c r="T147" s="77"/>
      <c r="U147" s="77"/>
      <c r="V147" s="77"/>
      <c r="W147" s="88"/>
      <c r="X147" s="350"/>
      <c r="Y147" s="77"/>
      <c r="Z147" s="77"/>
      <c r="AA147" s="77"/>
      <c r="AB147" s="88"/>
      <c r="AC147" s="77"/>
      <c r="AD147" s="77"/>
      <c r="AE147" s="77"/>
      <c r="AF147" s="77"/>
      <c r="AG147" s="88"/>
      <c r="AH147" s="77"/>
      <c r="AI147" s="77"/>
      <c r="AJ147" s="77"/>
      <c r="AK147" s="77"/>
      <c r="AL147" s="88"/>
      <c r="AM147" s="77"/>
      <c r="AN147" s="77"/>
      <c r="AO147" s="77"/>
      <c r="AP147" s="77"/>
      <c r="AQ147" s="88"/>
    </row>
    <row r="148" spans="2:43" outlineLevel="1" x14ac:dyDescent="0.25">
      <c r="B148" s="260" t="s">
        <v>229</v>
      </c>
      <c r="C148" s="261"/>
      <c r="D148" s="164">
        <v>-2</v>
      </c>
      <c r="E148" s="164">
        <v>25</v>
      </c>
      <c r="F148" s="164">
        <v>-2</v>
      </c>
      <c r="G148" s="164">
        <v>14</v>
      </c>
      <c r="H148" s="165">
        <f t="shared" si="169"/>
        <v>35</v>
      </c>
      <c r="I148" s="164">
        <v>-10</v>
      </c>
      <c r="J148" s="164">
        <v>6</v>
      </c>
      <c r="K148" s="164">
        <v>16</v>
      </c>
      <c r="L148" s="164">
        <f>4-K148-J148-I148</f>
        <v>-8</v>
      </c>
      <c r="M148" s="165">
        <f t="shared" si="170"/>
        <v>4</v>
      </c>
      <c r="N148" s="164">
        <v>-5</v>
      </c>
      <c r="O148" s="164">
        <f>-4-N148</f>
        <v>1</v>
      </c>
      <c r="P148" s="164">
        <f>20-O148-N148</f>
        <v>24</v>
      </c>
      <c r="Q148" s="164">
        <f>53-P148-O148-N148</f>
        <v>33</v>
      </c>
      <c r="R148" s="165">
        <f t="shared" si="171"/>
        <v>53</v>
      </c>
      <c r="S148" s="350"/>
      <c r="T148" s="77"/>
      <c r="U148" s="77"/>
      <c r="V148" s="77"/>
      <c r="W148" s="88"/>
      <c r="X148" s="350"/>
      <c r="Y148" s="77"/>
      <c r="Z148" s="77"/>
      <c r="AA148" s="77"/>
      <c r="AB148" s="88"/>
      <c r="AC148" s="77"/>
      <c r="AD148" s="77"/>
      <c r="AE148" s="77"/>
      <c r="AF148" s="77"/>
      <c r="AG148" s="88"/>
      <c r="AH148" s="77"/>
      <c r="AI148" s="77"/>
      <c r="AJ148" s="77"/>
      <c r="AK148" s="77"/>
      <c r="AL148" s="88"/>
      <c r="AM148" s="77"/>
      <c r="AN148" s="77"/>
      <c r="AO148" s="77"/>
      <c r="AP148" s="77"/>
      <c r="AQ148" s="88"/>
    </row>
    <row r="149" spans="2:43" ht="17.25" outlineLevel="1" x14ac:dyDescent="0.4">
      <c r="B149" s="370" t="s">
        <v>230</v>
      </c>
      <c r="C149" s="371"/>
      <c r="D149" s="166">
        <v>69</v>
      </c>
      <c r="E149" s="166">
        <v>42</v>
      </c>
      <c r="F149" s="166">
        <v>-214</v>
      </c>
      <c r="G149" s="166">
        <f>1262-F149-E149-D149</f>
        <v>1365</v>
      </c>
      <c r="H149" s="167">
        <f>SUM(D149:G149)</f>
        <v>1262</v>
      </c>
      <c r="I149" s="166">
        <v>222</v>
      </c>
      <c r="J149" s="166">
        <v>151</v>
      </c>
      <c r="K149" s="166">
        <v>176</v>
      </c>
      <c r="L149" s="166">
        <f>3084-K149-J149-I149</f>
        <v>2535</v>
      </c>
      <c r="M149" s="167">
        <f>SUM(I149:L149)</f>
        <v>3084</v>
      </c>
      <c r="N149" s="166">
        <v>-143</v>
      </c>
      <c r="O149" s="166">
        <f>-124-N149</f>
        <v>19</v>
      </c>
      <c r="P149" s="166">
        <f>102-O149-N149</f>
        <v>226</v>
      </c>
      <c r="Q149" s="166">
        <f>-635-P149-O149-N149</f>
        <v>-737</v>
      </c>
      <c r="R149" s="167">
        <f>SUM(N149:Q149)</f>
        <v>-635</v>
      </c>
      <c r="S149" s="351"/>
      <c r="T149" s="78"/>
      <c r="U149" s="78"/>
      <c r="V149" s="78"/>
      <c r="W149" s="96"/>
      <c r="X149" s="351"/>
      <c r="Y149" s="78"/>
      <c r="Z149" s="78"/>
      <c r="AA149" s="78"/>
      <c r="AB149" s="96"/>
      <c r="AC149" s="78"/>
      <c r="AD149" s="78"/>
      <c r="AE149" s="78"/>
      <c r="AF149" s="78"/>
      <c r="AG149" s="96"/>
      <c r="AH149" s="78"/>
      <c r="AI149" s="78"/>
      <c r="AJ149" s="78"/>
      <c r="AK149" s="78"/>
      <c r="AL149" s="96"/>
      <c r="AM149" s="78"/>
      <c r="AN149" s="78"/>
      <c r="AO149" s="78"/>
      <c r="AP149" s="78"/>
      <c r="AQ149" s="96"/>
    </row>
    <row r="150" spans="2:43" outlineLevel="1" x14ac:dyDescent="0.25">
      <c r="B150" s="368" t="s">
        <v>14</v>
      </c>
      <c r="C150" s="369"/>
      <c r="D150" s="158">
        <f t="shared" ref="D150:R150" si="172">D133+SUM(D134:D149)</f>
        <v>2983</v>
      </c>
      <c r="E150" s="158">
        <f t="shared" si="172"/>
        <v>3198</v>
      </c>
      <c r="F150" s="158">
        <f t="shared" si="172"/>
        <v>3577</v>
      </c>
      <c r="G150" s="158">
        <f t="shared" si="172"/>
        <v>6350</v>
      </c>
      <c r="H150" s="159">
        <f t="shared" si="172"/>
        <v>16108</v>
      </c>
      <c r="I150" s="158">
        <f t="shared" si="172"/>
        <v>5058</v>
      </c>
      <c r="J150" s="158">
        <f t="shared" si="172"/>
        <v>5359</v>
      </c>
      <c r="K150" s="158">
        <f t="shared" si="172"/>
        <v>6128</v>
      </c>
      <c r="L150" s="158">
        <f t="shared" si="172"/>
        <v>7671</v>
      </c>
      <c r="M150" s="159">
        <f t="shared" si="172"/>
        <v>24216</v>
      </c>
      <c r="N150" s="158">
        <f t="shared" si="172"/>
        <v>7860</v>
      </c>
      <c r="O150" s="158">
        <f t="shared" si="172"/>
        <v>6299</v>
      </c>
      <c r="P150" s="158">
        <f t="shared" si="172"/>
        <v>7498</v>
      </c>
      <c r="Q150" s="158">
        <f t="shared" si="172"/>
        <v>7617</v>
      </c>
      <c r="R150" s="159">
        <f t="shared" si="172"/>
        <v>29274</v>
      </c>
      <c r="S150" s="352"/>
      <c r="T150" s="85"/>
      <c r="U150" s="85"/>
      <c r="V150" s="85"/>
      <c r="W150" s="86"/>
      <c r="X150" s="352"/>
      <c r="Y150" s="85"/>
      <c r="Z150" s="85"/>
      <c r="AA150" s="85"/>
      <c r="AB150" s="86"/>
      <c r="AC150" s="85"/>
      <c r="AD150" s="85"/>
      <c r="AE150" s="85"/>
      <c r="AF150" s="85"/>
      <c r="AG150" s="86"/>
      <c r="AH150" s="85"/>
      <c r="AI150" s="85"/>
      <c r="AJ150" s="85"/>
      <c r="AK150" s="85"/>
      <c r="AL150" s="86"/>
      <c r="AM150" s="85"/>
      <c r="AN150" s="85"/>
      <c r="AO150" s="85"/>
      <c r="AP150" s="85"/>
      <c r="AQ150" s="86"/>
    </row>
    <row r="151" spans="2:43" outlineLevel="1" x14ac:dyDescent="0.25">
      <c r="B151" s="430" t="s">
        <v>15</v>
      </c>
      <c r="C151" s="431"/>
      <c r="D151" s="160"/>
      <c r="E151" s="160"/>
      <c r="F151" s="160"/>
      <c r="G151" s="160"/>
      <c r="H151" s="175"/>
      <c r="I151" s="160"/>
      <c r="J151" s="160"/>
      <c r="K151" s="160"/>
      <c r="L151" s="160"/>
      <c r="M151" s="175"/>
      <c r="N151" s="160"/>
      <c r="O151" s="160"/>
      <c r="P151" s="160"/>
      <c r="Q151" s="160"/>
      <c r="R151" s="175"/>
      <c r="S151" s="349"/>
      <c r="T151" s="28"/>
      <c r="U151" s="28"/>
      <c r="V151" s="28"/>
      <c r="W151" s="88"/>
      <c r="X151" s="349"/>
      <c r="Y151" s="28"/>
      <c r="Z151" s="28"/>
      <c r="AA151" s="28"/>
      <c r="AB151" s="88"/>
      <c r="AC151" s="28"/>
      <c r="AD151" s="28"/>
      <c r="AE151" s="28"/>
      <c r="AF151" s="28"/>
      <c r="AG151" s="88"/>
      <c r="AH151" s="28"/>
      <c r="AI151" s="28"/>
      <c r="AJ151" s="28"/>
      <c r="AK151" s="28"/>
      <c r="AL151" s="88"/>
      <c r="AM151" s="28"/>
      <c r="AN151" s="28"/>
      <c r="AO151" s="28"/>
      <c r="AP151" s="28"/>
      <c r="AQ151" s="88"/>
    </row>
    <row r="152" spans="2:43" ht="17.25" outlineLevel="1" x14ac:dyDescent="0.4">
      <c r="B152" s="360" t="s">
        <v>231</v>
      </c>
      <c r="C152" s="361"/>
      <c r="D152" s="77">
        <v>-1132</v>
      </c>
      <c r="E152" s="77">
        <v>-995</v>
      </c>
      <c r="F152" s="70">
        <v>-1095</v>
      </c>
      <c r="G152" s="77">
        <v>-1269</v>
      </c>
      <c r="H152" s="88">
        <f>SUM(D152:G152)</f>
        <v>-4491</v>
      </c>
      <c r="I152" s="77">
        <v>-1271</v>
      </c>
      <c r="J152" s="77">
        <v>-1444</v>
      </c>
      <c r="K152" s="70">
        <v>-1755</v>
      </c>
      <c r="L152" s="77">
        <f>-6733-K152-J152-I152</f>
        <v>-2263</v>
      </c>
      <c r="M152" s="88">
        <f>SUM(I152:L152)</f>
        <v>-6733</v>
      </c>
      <c r="N152" s="77">
        <v>-2812</v>
      </c>
      <c r="O152" s="77">
        <f>-6272-N152</f>
        <v>-3460</v>
      </c>
      <c r="P152" s="70">
        <f>-9614-O152-N152</f>
        <v>-3342</v>
      </c>
      <c r="Q152" s="77">
        <f>-13915-P152-O152-N152</f>
        <v>-4301</v>
      </c>
      <c r="R152" s="88">
        <f>SUM(N152:Q152)</f>
        <v>-13915</v>
      </c>
      <c r="S152" s="350"/>
      <c r="T152" s="362" t="s">
        <v>302</v>
      </c>
      <c r="U152" s="363"/>
      <c r="V152" s="77"/>
      <c r="W152" s="88"/>
      <c r="X152" s="350"/>
      <c r="Y152" s="362" t="s">
        <v>302</v>
      </c>
      <c r="Z152" s="363"/>
      <c r="AA152" s="80"/>
      <c r="AB152" s="81"/>
      <c r="AC152" s="80"/>
      <c r="AD152" s="362" t="s">
        <v>302</v>
      </c>
      <c r="AE152" s="363"/>
      <c r="AF152" s="80"/>
      <c r="AG152" s="81"/>
      <c r="AH152" s="80"/>
      <c r="AI152" s="362" t="s">
        <v>302</v>
      </c>
      <c r="AJ152" s="363"/>
      <c r="AK152" s="80"/>
      <c r="AL152" s="81"/>
      <c r="AM152" s="80"/>
      <c r="AN152" s="362" t="s">
        <v>302</v>
      </c>
      <c r="AO152" s="363"/>
      <c r="AP152" s="77"/>
      <c r="AQ152" s="88"/>
    </row>
    <row r="153" spans="2:43" outlineLevel="1" x14ac:dyDescent="0.25">
      <c r="B153" s="262" t="s">
        <v>232</v>
      </c>
      <c r="C153" s="263"/>
      <c r="D153" s="77">
        <v>-576</v>
      </c>
      <c r="E153" s="77">
        <v>-3998</v>
      </c>
      <c r="F153" s="70">
        <v>-1969</v>
      </c>
      <c r="G153" s="77">
        <v>-644</v>
      </c>
      <c r="H153" s="88">
        <f>SUM(D153:G153)</f>
        <v>-7187</v>
      </c>
      <c r="I153" s="77">
        <f>-6992+1762+599</f>
        <v>-4631</v>
      </c>
      <c r="J153" s="77">
        <f>-14137+3998+1498-I153</f>
        <v>-4010</v>
      </c>
      <c r="K153" s="70">
        <v>-1892</v>
      </c>
      <c r="L153" s="77">
        <f>-25682+9444+2988-K153-J153-I153</f>
        <v>-2717</v>
      </c>
      <c r="M153" s="88">
        <f>SUM(I153:L153)</f>
        <v>-13250</v>
      </c>
      <c r="N153" s="77">
        <f>-4022+4330+1267</f>
        <v>1575</v>
      </c>
      <c r="O153" s="77">
        <f>-8283+8612+2338-N153</f>
        <v>1092</v>
      </c>
      <c r="P153" s="70">
        <f>-12658+11104+3391-O153-N153</f>
        <v>-830</v>
      </c>
      <c r="Q153" s="77">
        <f>-14656+12358+4772-P153-O153-N153</f>
        <v>637</v>
      </c>
      <c r="R153" s="88">
        <f>SUM(N153:Q153)</f>
        <v>2474</v>
      </c>
      <c r="S153" s="350"/>
      <c r="T153" s="364"/>
      <c r="U153" s="365"/>
      <c r="V153" s="77"/>
      <c r="W153" s="88"/>
      <c r="X153" s="350"/>
      <c r="Y153" s="364"/>
      <c r="Z153" s="365"/>
      <c r="AA153" s="85"/>
      <c r="AB153" s="86"/>
      <c r="AC153" s="85"/>
      <c r="AD153" s="364"/>
      <c r="AE153" s="365"/>
      <c r="AF153" s="85"/>
      <c r="AG153" s="86"/>
      <c r="AH153" s="85"/>
      <c r="AI153" s="364"/>
      <c r="AJ153" s="365"/>
      <c r="AK153" s="85"/>
      <c r="AL153" s="86"/>
      <c r="AM153" s="85"/>
      <c r="AN153" s="364"/>
      <c r="AO153" s="365"/>
      <c r="AP153" s="77"/>
      <c r="AQ153" s="88"/>
    </row>
    <row r="154" spans="2:43" ht="17.25" outlineLevel="1" x14ac:dyDescent="0.4">
      <c r="B154" s="360" t="s">
        <v>233</v>
      </c>
      <c r="C154" s="361"/>
      <c r="D154" s="77">
        <v>-1</v>
      </c>
      <c r="E154" s="77">
        <v>-19</v>
      </c>
      <c r="F154" s="70">
        <v>-61</v>
      </c>
      <c r="G154" s="77">
        <v>-41</v>
      </c>
      <c r="H154" s="88">
        <f>SUM(D154:G154)</f>
        <v>-122</v>
      </c>
      <c r="I154" s="77">
        <v>0</v>
      </c>
      <c r="J154" s="77">
        <v>-8</v>
      </c>
      <c r="K154" s="70">
        <v>-98</v>
      </c>
      <c r="L154" s="77">
        <f>-122-K154-J154-I154</f>
        <v>-16</v>
      </c>
      <c r="M154" s="88">
        <f>SUM(I154:L154)</f>
        <v>-122</v>
      </c>
      <c r="N154" s="77">
        <v>-49</v>
      </c>
      <c r="O154" s="77">
        <f>-65-N154</f>
        <v>-16</v>
      </c>
      <c r="P154" s="70">
        <f>-137-O154-N154</f>
        <v>-72</v>
      </c>
      <c r="Q154" s="77">
        <f>-137-P154-O154-N154</f>
        <v>0</v>
      </c>
      <c r="R154" s="88">
        <f>SUM(N154:Q154)</f>
        <v>-137</v>
      </c>
      <c r="S154" s="350"/>
      <c r="T154" s="364"/>
      <c r="U154" s="365"/>
      <c r="V154" s="77"/>
      <c r="W154" s="88"/>
      <c r="X154" s="350"/>
      <c r="Y154" s="364"/>
      <c r="Z154" s="365"/>
      <c r="AA154" s="78"/>
      <c r="AB154" s="96"/>
      <c r="AC154" s="78"/>
      <c r="AD154" s="364"/>
      <c r="AE154" s="365"/>
      <c r="AF154" s="78"/>
      <c r="AG154" s="96"/>
      <c r="AH154" s="78"/>
      <c r="AI154" s="364"/>
      <c r="AJ154" s="365"/>
      <c r="AK154" s="78"/>
      <c r="AL154" s="96"/>
      <c r="AM154" s="78"/>
      <c r="AN154" s="364"/>
      <c r="AO154" s="365"/>
      <c r="AP154" s="77"/>
      <c r="AQ154" s="88"/>
    </row>
    <row r="155" spans="2:43" ht="17.25" outlineLevel="1" x14ac:dyDescent="0.4">
      <c r="B155" s="360" t="s">
        <v>234</v>
      </c>
      <c r="C155" s="361"/>
      <c r="D155" s="78">
        <v>33</v>
      </c>
      <c r="E155" s="78">
        <v>41</v>
      </c>
      <c r="F155" s="75">
        <v>8</v>
      </c>
      <c r="G155" s="78">
        <f>8-F155-E155-D155</f>
        <v>-74</v>
      </c>
      <c r="H155" s="96">
        <f>SUM(D155:G155)</f>
        <v>8</v>
      </c>
      <c r="I155" s="78">
        <v>-18</v>
      </c>
      <c r="J155" s="78">
        <f>-22-I155</f>
        <v>-4</v>
      </c>
      <c r="K155" s="75">
        <v>16</v>
      </c>
      <c r="L155" s="78">
        <f>-13-K155-J155-I155</f>
        <v>-7</v>
      </c>
      <c r="M155" s="96">
        <f>SUM(I155:L155)</f>
        <v>-13</v>
      </c>
      <c r="N155" s="78">
        <v>-1</v>
      </c>
      <c r="O155" s="78">
        <f>-1-N155</f>
        <v>0</v>
      </c>
      <c r="P155" s="75">
        <f>-4-O155-N155</f>
        <v>-3</v>
      </c>
      <c r="Q155" s="78">
        <f>-25-P155-O155-N155</f>
        <v>-21</v>
      </c>
      <c r="R155" s="96">
        <f>SUM(N155:Q155)</f>
        <v>-25</v>
      </c>
      <c r="S155" s="351"/>
      <c r="T155" s="366"/>
      <c r="U155" s="367"/>
      <c r="V155" s="78"/>
      <c r="W155" s="96"/>
      <c r="X155" s="351"/>
      <c r="Y155" s="366"/>
      <c r="Z155" s="367"/>
      <c r="AA155" s="85"/>
      <c r="AB155" s="86"/>
      <c r="AC155" s="85"/>
      <c r="AD155" s="366"/>
      <c r="AE155" s="367"/>
      <c r="AF155" s="85"/>
      <c r="AG155" s="86"/>
      <c r="AH155" s="85"/>
      <c r="AI155" s="366"/>
      <c r="AJ155" s="367"/>
      <c r="AK155" s="85"/>
      <c r="AL155" s="86"/>
      <c r="AM155" s="85"/>
      <c r="AN155" s="366"/>
      <c r="AO155" s="367"/>
      <c r="AP155" s="78"/>
      <c r="AQ155" s="96"/>
    </row>
    <row r="156" spans="2:43" outlineLevel="1" x14ac:dyDescent="0.25">
      <c r="B156" s="416" t="s">
        <v>16</v>
      </c>
      <c r="C156" s="417"/>
      <c r="D156" s="85">
        <f>SUM(D151:D155)</f>
        <v>-1676</v>
      </c>
      <c r="E156" s="85">
        <f>SUM(E151:E155)</f>
        <v>-4971</v>
      </c>
      <c r="F156" s="85">
        <f>SUM(F151:F155)</f>
        <v>-3117</v>
      </c>
      <c r="G156" s="85">
        <f>SUM(G151:G155)</f>
        <v>-2028</v>
      </c>
      <c r="H156" s="86">
        <f>SUM(H152:H155)</f>
        <v>-11792</v>
      </c>
      <c r="I156" s="85">
        <f>SUM(I151:I155)</f>
        <v>-5920</v>
      </c>
      <c r="J156" s="85">
        <f>SUM(J151:J155)</f>
        <v>-5466</v>
      </c>
      <c r="K156" s="85">
        <f>SUM(K151:K155)</f>
        <v>-3729</v>
      </c>
      <c r="L156" s="85">
        <f>SUM(L151:L155)</f>
        <v>-5003</v>
      </c>
      <c r="M156" s="86">
        <f>SUM(M152:M155)</f>
        <v>-20118</v>
      </c>
      <c r="N156" s="85">
        <f>SUM(N151:N155)</f>
        <v>-1287</v>
      </c>
      <c r="O156" s="85">
        <f>SUM(O151:O155)</f>
        <v>-2384</v>
      </c>
      <c r="P156" s="85">
        <f>SUM(P151:P155)</f>
        <v>-4247</v>
      </c>
      <c r="Q156" s="85">
        <f>SUM(Q151:Q155)</f>
        <v>-3685</v>
      </c>
      <c r="R156" s="86">
        <f>SUM(R152:R155)</f>
        <v>-11603</v>
      </c>
      <c r="S156" s="352"/>
      <c r="T156" s="85"/>
      <c r="U156" s="85"/>
      <c r="V156" s="85"/>
      <c r="W156" s="86"/>
      <c r="X156" s="352"/>
      <c r="Y156" s="85"/>
      <c r="Z156" s="85"/>
      <c r="AA156" s="85"/>
      <c r="AB156" s="86"/>
      <c r="AC156" s="85"/>
      <c r="AD156" s="85"/>
      <c r="AE156" s="85"/>
      <c r="AF156" s="85"/>
      <c r="AG156" s="86"/>
      <c r="AH156" s="85"/>
      <c r="AI156" s="85"/>
      <c r="AJ156" s="85"/>
      <c r="AK156" s="85"/>
      <c r="AL156" s="86"/>
      <c r="AM156" s="85"/>
      <c r="AN156" s="85"/>
      <c r="AO156" s="85"/>
      <c r="AP156" s="85"/>
      <c r="AQ156" s="86"/>
    </row>
    <row r="157" spans="2:43" outlineLevel="1" x14ac:dyDescent="0.25">
      <c r="B157" s="372" t="s">
        <v>17</v>
      </c>
      <c r="C157" s="373"/>
      <c r="D157" s="162"/>
      <c r="E157" s="162"/>
      <c r="F157" s="162"/>
      <c r="G157" s="162"/>
      <c r="H157" s="163"/>
      <c r="I157" s="162"/>
      <c r="J157" s="162"/>
      <c r="K157" s="162"/>
      <c r="L157" s="162"/>
      <c r="M157" s="163"/>
      <c r="N157" s="162"/>
      <c r="O157" s="162"/>
      <c r="P157" s="162"/>
      <c r="Q157" s="162"/>
      <c r="R157" s="163"/>
      <c r="S157" s="349"/>
      <c r="T157" s="28"/>
      <c r="U157" s="28"/>
      <c r="V157" s="28"/>
      <c r="W157" s="88"/>
      <c r="X157" s="349"/>
      <c r="Y157" s="28"/>
      <c r="Z157" s="28"/>
      <c r="AA157" s="28"/>
      <c r="AB157" s="88"/>
      <c r="AC157" s="28"/>
      <c r="AD157" s="28"/>
      <c r="AE157" s="28"/>
      <c r="AF157" s="28"/>
      <c r="AG157" s="88"/>
      <c r="AH157" s="28"/>
      <c r="AI157" s="28"/>
      <c r="AJ157" s="28"/>
      <c r="AK157" s="28"/>
      <c r="AL157" s="88"/>
      <c r="AM157" s="28"/>
      <c r="AN157" s="28"/>
      <c r="AO157" s="28"/>
      <c r="AP157" s="28"/>
      <c r="AQ157" s="88"/>
    </row>
    <row r="158" spans="2:43" outlineLevel="1" x14ac:dyDescent="0.25">
      <c r="B158" s="260" t="s">
        <v>235</v>
      </c>
      <c r="C158" s="146"/>
      <c r="D158" s="164">
        <v>0</v>
      </c>
      <c r="E158" s="164">
        <v>0</v>
      </c>
      <c r="F158" s="164">
        <v>0</v>
      </c>
      <c r="G158" s="164">
        <v>-6</v>
      </c>
      <c r="H158" s="165">
        <f t="shared" ref="H158:H162" si="173">SUM(D158:G158)</f>
        <v>-6</v>
      </c>
      <c r="I158" s="164">
        <v>-771</v>
      </c>
      <c r="J158" s="164">
        <v>-724</v>
      </c>
      <c r="K158" s="164">
        <v>-866</v>
      </c>
      <c r="L158" s="164">
        <f>-3246-K158-J158-I158</f>
        <v>-885</v>
      </c>
      <c r="M158" s="165">
        <f t="shared" ref="M158:M160" si="174">SUM(I158:L158)</f>
        <v>-3246</v>
      </c>
      <c r="N158" s="164">
        <v>-832</v>
      </c>
      <c r="O158" s="164">
        <f>-1758-N158</f>
        <v>-926</v>
      </c>
      <c r="P158" s="164">
        <f>-2663-O158-N158</f>
        <v>-905</v>
      </c>
      <c r="Q158" s="164">
        <f>-3208-P158-O158-N158</f>
        <v>-545</v>
      </c>
      <c r="R158" s="165">
        <f t="shared" ref="R158:R160" si="175">SUM(N158:Q158)</f>
        <v>-3208</v>
      </c>
      <c r="S158" s="350"/>
      <c r="T158" s="77"/>
      <c r="U158" s="77"/>
      <c r="V158" s="77"/>
      <c r="W158" s="88"/>
      <c r="X158" s="350"/>
      <c r="Y158" s="77"/>
      <c r="Z158" s="77"/>
      <c r="AA158" s="77"/>
      <c r="AB158" s="88"/>
      <c r="AC158" s="77"/>
      <c r="AD158" s="77"/>
      <c r="AE158" s="77"/>
      <c r="AF158" s="77"/>
      <c r="AG158" s="88"/>
      <c r="AH158" s="77"/>
      <c r="AI158" s="77"/>
      <c r="AJ158" s="77"/>
      <c r="AK158" s="77"/>
      <c r="AL158" s="88"/>
      <c r="AM158" s="77"/>
      <c r="AN158" s="77"/>
      <c r="AO158" s="77"/>
      <c r="AP158" s="77"/>
      <c r="AQ158" s="88"/>
    </row>
    <row r="159" spans="2:43" outlineLevel="1" x14ac:dyDescent="0.25">
      <c r="B159" s="260" t="s">
        <v>236</v>
      </c>
      <c r="C159" s="146"/>
      <c r="D159" s="164">
        <v>0</v>
      </c>
      <c r="E159" s="164">
        <v>0</v>
      </c>
      <c r="F159" s="164">
        <v>0</v>
      </c>
      <c r="G159" s="164">
        <v>0</v>
      </c>
      <c r="H159" s="165">
        <f t="shared" si="173"/>
        <v>0</v>
      </c>
      <c r="I159" s="164">
        <v>0</v>
      </c>
      <c r="J159" s="164">
        <v>0</v>
      </c>
      <c r="K159" s="164">
        <v>0</v>
      </c>
      <c r="L159" s="164">
        <f t="shared" ref="L159:L161" si="176">0-K159-J159-I159</f>
        <v>0</v>
      </c>
      <c r="M159" s="165">
        <f t="shared" si="174"/>
        <v>0</v>
      </c>
      <c r="N159" s="164">
        <v>0</v>
      </c>
      <c r="O159" s="164">
        <f t="shared" ref="O159:O161" si="177">0-N159</f>
        <v>0</v>
      </c>
      <c r="P159" s="164">
        <v>0</v>
      </c>
      <c r="Q159" s="164">
        <f t="shared" ref="Q159:Q161" si="178">0-P159-O159-N159</f>
        <v>0</v>
      </c>
      <c r="R159" s="165">
        <f t="shared" si="175"/>
        <v>0</v>
      </c>
      <c r="S159" s="350"/>
      <c r="T159" s="77"/>
      <c r="U159" s="77"/>
      <c r="V159" s="77"/>
      <c r="W159" s="88"/>
      <c r="X159" s="350"/>
      <c r="Y159" s="77"/>
      <c r="Z159" s="77"/>
      <c r="AA159" s="77"/>
      <c r="AB159" s="88"/>
      <c r="AC159" s="77"/>
      <c r="AD159" s="77"/>
      <c r="AE159" s="77"/>
      <c r="AF159" s="77"/>
      <c r="AG159" s="88"/>
      <c r="AH159" s="77"/>
      <c r="AI159" s="77"/>
      <c r="AJ159" s="77"/>
      <c r="AK159" s="77"/>
      <c r="AL159" s="88"/>
      <c r="AM159" s="77"/>
      <c r="AN159" s="77"/>
      <c r="AO159" s="77"/>
      <c r="AP159" s="77"/>
      <c r="AQ159" s="88"/>
    </row>
    <row r="160" spans="2:43" outlineLevel="1" x14ac:dyDescent="0.25">
      <c r="B160" s="260" t="s">
        <v>237</v>
      </c>
      <c r="C160" s="146"/>
      <c r="D160" s="164">
        <v>-312</v>
      </c>
      <c r="E160" s="164">
        <v>0</v>
      </c>
      <c r="F160" s="164">
        <v>0</v>
      </c>
      <c r="G160" s="164">
        <v>0</v>
      </c>
      <c r="H160" s="165">
        <f t="shared" si="173"/>
        <v>-312</v>
      </c>
      <c r="I160" s="164">
        <v>0</v>
      </c>
      <c r="J160" s="164">
        <v>0</v>
      </c>
      <c r="K160" s="164">
        <v>0</v>
      </c>
      <c r="L160" s="164">
        <f t="shared" si="176"/>
        <v>0</v>
      </c>
      <c r="M160" s="165">
        <f t="shared" si="174"/>
        <v>0</v>
      </c>
      <c r="N160" s="164">
        <v>0</v>
      </c>
      <c r="O160" s="164">
        <f t="shared" si="177"/>
        <v>0</v>
      </c>
      <c r="P160" s="164">
        <v>0</v>
      </c>
      <c r="Q160" s="164">
        <f t="shared" si="178"/>
        <v>0</v>
      </c>
      <c r="R160" s="165">
        <f t="shared" si="175"/>
        <v>0</v>
      </c>
      <c r="S160" s="350"/>
      <c r="T160" s="77"/>
      <c r="U160" s="77"/>
      <c r="V160" s="77"/>
      <c r="W160" s="88"/>
      <c r="X160" s="350"/>
      <c r="Y160" s="77"/>
      <c r="Z160" s="77"/>
      <c r="AA160" s="77"/>
      <c r="AB160" s="88"/>
      <c r="AC160" s="77"/>
      <c r="AD160" s="77"/>
      <c r="AE160" s="77"/>
      <c r="AF160" s="77"/>
      <c r="AG160" s="88"/>
      <c r="AH160" s="77"/>
      <c r="AI160" s="77"/>
      <c r="AJ160" s="77"/>
      <c r="AK160" s="77"/>
      <c r="AL160" s="88"/>
      <c r="AM160" s="77"/>
      <c r="AN160" s="77"/>
      <c r="AO160" s="77"/>
      <c r="AP160" s="77"/>
      <c r="AQ160" s="88"/>
    </row>
    <row r="161" spans="2:44" outlineLevel="1" x14ac:dyDescent="0.25">
      <c r="B161" s="103" t="s">
        <v>223</v>
      </c>
      <c r="C161" s="94"/>
      <c r="D161" s="164">
        <v>494</v>
      </c>
      <c r="E161" s="164">
        <v>467</v>
      </c>
      <c r="F161" s="164">
        <v>459</v>
      </c>
      <c r="G161" s="164">
        <f>0-F161-E161-D161</f>
        <v>-1420</v>
      </c>
      <c r="H161" s="165">
        <f t="shared" si="173"/>
        <v>0</v>
      </c>
      <c r="I161" s="164">
        <v>0</v>
      </c>
      <c r="J161" s="164">
        <v>0</v>
      </c>
      <c r="K161" s="164">
        <v>0</v>
      </c>
      <c r="L161" s="164">
        <f t="shared" si="176"/>
        <v>0</v>
      </c>
      <c r="M161" s="165">
        <f>SUM(I161:L161)</f>
        <v>0</v>
      </c>
      <c r="N161" s="164">
        <v>0</v>
      </c>
      <c r="O161" s="164">
        <f t="shared" si="177"/>
        <v>0</v>
      </c>
      <c r="P161" s="164">
        <v>0</v>
      </c>
      <c r="Q161" s="164">
        <f t="shared" si="178"/>
        <v>0</v>
      </c>
      <c r="R161" s="165">
        <f>SUM(N161:Q161)</f>
        <v>0</v>
      </c>
      <c r="S161" s="350"/>
      <c r="T161" s="77"/>
      <c r="U161" s="77"/>
      <c r="V161" s="77"/>
      <c r="W161" s="88"/>
      <c r="X161" s="350"/>
      <c r="Y161" s="77"/>
      <c r="Z161" s="77"/>
      <c r="AA161" s="77"/>
      <c r="AB161" s="88"/>
      <c r="AC161" s="77"/>
      <c r="AD161" s="77"/>
      <c r="AE161" s="77"/>
      <c r="AF161" s="77"/>
      <c r="AG161" s="88"/>
      <c r="AH161" s="77"/>
      <c r="AI161" s="77"/>
      <c r="AJ161" s="77"/>
      <c r="AK161" s="77"/>
      <c r="AL161" s="88"/>
      <c r="AM161" s="77"/>
      <c r="AN161" s="77"/>
      <c r="AO161" s="77"/>
      <c r="AP161" s="77"/>
      <c r="AQ161" s="88"/>
    </row>
    <row r="162" spans="2:44" outlineLevel="1" x14ac:dyDescent="0.25">
      <c r="B162" s="260" t="s">
        <v>238</v>
      </c>
      <c r="C162" s="298"/>
      <c r="D162" s="164">
        <v>0</v>
      </c>
      <c r="E162" s="164">
        <v>0</v>
      </c>
      <c r="F162" s="164"/>
      <c r="G162" s="164">
        <v>0</v>
      </c>
      <c r="H162" s="165">
        <f t="shared" si="173"/>
        <v>0</v>
      </c>
      <c r="I162" s="164">
        <v>-228</v>
      </c>
      <c r="J162" s="164">
        <v>-150</v>
      </c>
      <c r="K162" s="164">
        <v>-640</v>
      </c>
      <c r="L162" s="164">
        <f>-1976-K162-J162-I162</f>
        <v>-958</v>
      </c>
      <c r="M162" s="165">
        <f t="shared" ref="M162:M163" si="179">SUM(I162:L162)</f>
        <v>-1976</v>
      </c>
      <c r="N162" s="164">
        <v>-1774</v>
      </c>
      <c r="O162" s="164">
        <f>-5123-N162</f>
        <v>-3349</v>
      </c>
      <c r="P162" s="164">
        <f>-9379-O162-N162</f>
        <v>-4256</v>
      </c>
      <c r="Q162" s="164">
        <f>-12879-P162-O162-N162</f>
        <v>-3500</v>
      </c>
      <c r="R162" s="165">
        <f t="shared" ref="R162:R163" si="180">SUM(N162:Q162)</f>
        <v>-12879</v>
      </c>
      <c r="S162" s="350"/>
      <c r="T162" s="77"/>
      <c r="U162" s="77"/>
      <c r="V162" s="77"/>
      <c r="W162" s="88"/>
      <c r="X162" s="350"/>
      <c r="Y162" s="77"/>
      <c r="Z162" s="77"/>
      <c r="AA162" s="77"/>
      <c r="AB162" s="88"/>
      <c r="AC162" s="77"/>
      <c r="AD162" s="77"/>
      <c r="AE162" s="77"/>
      <c r="AF162" s="77"/>
      <c r="AG162" s="88"/>
      <c r="AH162" s="77"/>
      <c r="AI162" s="77"/>
      <c r="AJ162" s="77"/>
      <c r="AK162" s="77"/>
      <c r="AL162" s="88"/>
      <c r="AM162" s="77"/>
      <c r="AN162" s="77"/>
      <c r="AO162" s="77"/>
      <c r="AP162" s="77"/>
      <c r="AQ162" s="88"/>
    </row>
    <row r="163" spans="2:44" ht="17.25" outlineLevel="1" x14ac:dyDescent="0.4">
      <c r="B163" s="370" t="s">
        <v>239</v>
      </c>
      <c r="C163" s="371"/>
      <c r="D163" s="166">
        <v>2</v>
      </c>
      <c r="E163" s="166">
        <v>4</v>
      </c>
      <c r="F163" s="166">
        <v>-8</v>
      </c>
      <c r="G163" s="166">
        <f>8-F163-E163-D163</f>
        <v>10</v>
      </c>
      <c r="H163" s="167">
        <f t="shared" ref="H163" si="181">SUM(D163:G163)</f>
        <v>8</v>
      </c>
      <c r="I163" s="166">
        <v>7</v>
      </c>
      <c r="J163" s="166">
        <v>5</v>
      </c>
      <c r="K163" s="166">
        <v>-26</v>
      </c>
      <c r="L163" s="166">
        <f>-13-K163-J163-I163</f>
        <v>1</v>
      </c>
      <c r="M163" s="167">
        <f t="shared" si="179"/>
        <v>-13</v>
      </c>
      <c r="N163" s="166">
        <v>3</v>
      </c>
      <c r="O163" s="166">
        <f>7-N163</f>
        <v>4</v>
      </c>
      <c r="P163" s="166">
        <f>11-O163-N163</f>
        <v>4</v>
      </c>
      <c r="Q163" s="166">
        <f>500+15-P163-O163-N163</f>
        <v>504</v>
      </c>
      <c r="R163" s="167">
        <f t="shared" si="180"/>
        <v>515</v>
      </c>
      <c r="S163" s="351"/>
      <c r="T163" s="78"/>
      <c r="U163" s="78"/>
      <c r="V163" s="78"/>
      <c r="W163" s="96"/>
      <c r="X163" s="351"/>
      <c r="Y163" s="78"/>
      <c r="Z163" s="78"/>
      <c r="AA163" s="78"/>
      <c r="AB163" s="96"/>
      <c r="AC163" s="78"/>
      <c r="AD163" s="78"/>
      <c r="AE163" s="78"/>
      <c r="AF163" s="78"/>
      <c r="AG163" s="96"/>
      <c r="AH163" s="78"/>
      <c r="AI163" s="78"/>
      <c r="AJ163" s="78"/>
      <c r="AK163" s="78"/>
      <c r="AL163" s="96"/>
      <c r="AM163" s="78"/>
      <c r="AN163" s="78"/>
      <c r="AO163" s="78"/>
      <c r="AP163" s="78"/>
      <c r="AQ163" s="96"/>
    </row>
    <row r="164" spans="2:44" outlineLevel="1" x14ac:dyDescent="0.25">
      <c r="B164" s="368" t="s">
        <v>18</v>
      </c>
      <c r="C164" s="369"/>
      <c r="D164" s="158">
        <f>SUM(D158:D163)</f>
        <v>184</v>
      </c>
      <c r="E164" s="158">
        <f t="shared" ref="E164:R164" si="182">SUM(E158:E163)</f>
        <v>471</v>
      </c>
      <c r="F164" s="158">
        <f t="shared" si="182"/>
        <v>451</v>
      </c>
      <c r="G164" s="158">
        <f t="shared" si="182"/>
        <v>-1416</v>
      </c>
      <c r="H164" s="159">
        <f t="shared" si="182"/>
        <v>-310</v>
      </c>
      <c r="I164" s="158">
        <f t="shared" si="182"/>
        <v>-992</v>
      </c>
      <c r="J164" s="158">
        <f t="shared" si="182"/>
        <v>-869</v>
      </c>
      <c r="K164" s="158">
        <f t="shared" si="182"/>
        <v>-1532</v>
      </c>
      <c r="L164" s="158">
        <f t="shared" si="182"/>
        <v>-1842</v>
      </c>
      <c r="M164" s="159">
        <f t="shared" si="182"/>
        <v>-5235</v>
      </c>
      <c r="N164" s="158">
        <f t="shared" si="182"/>
        <v>-2603</v>
      </c>
      <c r="O164" s="158">
        <f t="shared" si="182"/>
        <v>-4271</v>
      </c>
      <c r="P164" s="158">
        <f t="shared" si="182"/>
        <v>-5157</v>
      </c>
      <c r="Q164" s="158">
        <f t="shared" si="182"/>
        <v>-3541</v>
      </c>
      <c r="R164" s="159">
        <f t="shared" si="182"/>
        <v>-15572</v>
      </c>
      <c r="S164" s="352"/>
      <c r="T164" s="85"/>
      <c r="U164" s="85"/>
      <c r="V164" s="85"/>
      <c r="W164" s="86"/>
      <c r="X164" s="352"/>
      <c r="Y164" s="85"/>
      <c r="Z164" s="85"/>
      <c r="AA164" s="85"/>
      <c r="AB164" s="86"/>
      <c r="AC164" s="85"/>
      <c r="AD164" s="85"/>
      <c r="AE164" s="85"/>
      <c r="AF164" s="85"/>
      <c r="AG164" s="86"/>
      <c r="AH164" s="85"/>
      <c r="AI164" s="85"/>
      <c r="AJ164" s="85"/>
      <c r="AK164" s="85"/>
      <c r="AL164" s="86"/>
      <c r="AM164" s="85"/>
      <c r="AN164" s="85"/>
      <c r="AO164" s="85"/>
      <c r="AP164" s="85"/>
      <c r="AQ164" s="86"/>
    </row>
    <row r="165" spans="2:44" outlineLevel="1" x14ac:dyDescent="0.25">
      <c r="B165" s="148" t="s">
        <v>241</v>
      </c>
      <c r="C165" s="149"/>
      <c r="D165" s="132">
        <v>58</v>
      </c>
      <c r="E165" s="132">
        <v>-46</v>
      </c>
      <c r="F165" s="132">
        <v>19</v>
      </c>
      <c r="G165" s="132">
        <v>-94</v>
      </c>
      <c r="H165" s="175">
        <f>SUM(D165:G165)</f>
        <v>-63</v>
      </c>
      <c r="I165" s="132">
        <v>28</v>
      </c>
      <c r="J165" s="132">
        <f>122-I165</f>
        <v>94</v>
      </c>
      <c r="K165" s="132">
        <v>70</v>
      </c>
      <c r="L165" s="132">
        <f>232-K165-J165-I165</f>
        <v>40</v>
      </c>
      <c r="M165" s="175">
        <f>SUM(I165:L165)</f>
        <v>232</v>
      </c>
      <c r="N165" s="132">
        <v>36</v>
      </c>
      <c r="O165" s="132">
        <f>-149-N165</f>
        <v>-185</v>
      </c>
      <c r="P165" s="132">
        <f>-168-O165-N165</f>
        <v>-19</v>
      </c>
      <c r="Q165" s="132">
        <f>-179-P165-O165-N165</f>
        <v>-11</v>
      </c>
      <c r="R165" s="161">
        <f>SUM(N165:Q165)</f>
        <v>-179</v>
      </c>
      <c r="S165" s="350"/>
      <c r="T165" s="77"/>
      <c r="U165" s="77"/>
      <c r="V165" s="77"/>
      <c r="W165" s="88"/>
      <c r="X165" s="350"/>
      <c r="Y165" s="77"/>
      <c r="Z165" s="77"/>
      <c r="AA165" s="77"/>
      <c r="AB165" s="88"/>
      <c r="AC165" s="77"/>
      <c r="AD165" s="77"/>
      <c r="AE165" s="77"/>
      <c r="AF165" s="77"/>
      <c r="AG165" s="88"/>
      <c r="AH165" s="77"/>
      <c r="AI165" s="77"/>
      <c r="AJ165" s="77"/>
      <c r="AK165" s="77"/>
      <c r="AL165" s="88"/>
      <c r="AM165" s="77"/>
      <c r="AN165" s="77"/>
      <c r="AO165" s="77"/>
      <c r="AP165" s="77"/>
      <c r="AQ165" s="88"/>
    </row>
    <row r="166" spans="2:44" ht="17.25" outlineLevel="1" x14ac:dyDescent="0.4">
      <c r="B166" s="360" t="s">
        <v>19</v>
      </c>
      <c r="C166" s="361"/>
      <c r="D166" s="75">
        <f t="shared" ref="D166:R166" si="183">D164+D156+D150+D165</f>
        <v>1549</v>
      </c>
      <c r="E166" s="75">
        <f t="shared" si="183"/>
        <v>-1348</v>
      </c>
      <c r="F166" s="75">
        <f t="shared" si="183"/>
        <v>930</v>
      </c>
      <c r="G166" s="75">
        <f t="shared" si="183"/>
        <v>2812</v>
      </c>
      <c r="H166" s="76">
        <f t="shared" si="183"/>
        <v>3943</v>
      </c>
      <c r="I166" s="75">
        <f t="shared" si="183"/>
        <v>-1826</v>
      </c>
      <c r="J166" s="75">
        <f t="shared" si="183"/>
        <v>-882</v>
      </c>
      <c r="K166" s="75">
        <f t="shared" si="183"/>
        <v>937</v>
      </c>
      <c r="L166" s="75">
        <f t="shared" si="183"/>
        <v>866</v>
      </c>
      <c r="M166" s="76">
        <f t="shared" si="183"/>
        <v>-905</v>
      </c>
      <c r="N166" s="75">
        <f t="shared" si="183"/>
        <v>4006</v>
      </c>
      <c r="O166" s="75">
        <f t="shared" si="183"/>
        <v>-541</v>
      </c>
      <c r="P166" s="75">
        <f t="shared" si="183"/>
        <v>-1925</v>
      </c>
      <c r="Q166" s="75">
        <f t="shared" si="183"/>
        <v>380</v>
      </c>
      <c r="R166" s="76">
        <f t="shared" si="183"/>
        <v>1920</v>
      </c>
      <c r="S166" s="351"/>
      <c r="T166" s="78"/>
      <c r="U166" s="78"/>
      <c r="V166" s="78"/>
      <c r="W166" s="96"/>
      <c r="X166" s="351"/>
      <c r="Y166" s="78"/>
      <c r="Z166" s="78"/>
      <c r="AA166" s="78"/>
      <c r="AB166" s="96"/>
      <c r="AC166" s="78"/>
      <c r="AD166" s="78"/>
      <c r="AE166" s="78"/>
      <c r="AF166" s="78"/>
      <c r="AG166" s="96"/>
      <c r="AH166" s="78"/>
      <c r="AI166" s="78"/>
      <c r="AJ166" s="78"/>
      <c r="AK166" s="78"/>
      <c r="AL166" s="96"/>
      <c r="AM166" s="78"/>
      <c r="AN166" s="78"/>
      <c r="AO166" s="78"/>
      <c r="AP166" s="78"/>
      <c r="AQ166" s="96"/>
    </row>
    <row r="167" spans="2:44" ht="17.25" outlineLevel="1" x14ac:dyDescent="0.4">
      <c r="B167" s="360" t="s">
        <v>20</v>
      </c>
      <c r="C167" s="361"/>
      <c r="D167" s="78">
        <v>4907</v>
      </c>
      <c r="E167" s="78">
        <f>D170</f>
        <v>6456</v>
      </c>
      <c r="F167" s="78">
        <f>E170</f>
        <v>5108</v>
      </c>
      <c r="G167" s="78">
        <f>6038+53</f>
        <v>6091</v>
      </c>
      <c r="H167" s="96">
        <v>5166</v>
      </c>
      <c r="I167" s="78">
        <f>H168+206</f>
        <v>9109</v>
      </c>
      <c r="J167" s="78">
        <f>+I168</f>
        <v>7283</v>
      </c>
      <c r="K167" s="78">
        <f>+J168</f>
        <v>6401</v>
      </c>
      <c r="L167" s="78">
        <f>+K168</f>
        <v>7338</v>
      </c>
      <c r="M167" s="96">
        <f>H170</f>
        <v>8903</v>
      </c>
      <c r="N167" s="78">
        <f>M168</f>
        <v>8204</v>
      </c>
      <c r="O167" s="78">
        <f>+N168</f>
        <v>12210</v>
      </c>
      <c r="P167" s="78">
        <f>+O168</f>
        <v>11669</v>
      </c>
      <c r="Q167" s="78">
        <f>+P168</f>
        <v>9744</v>
      </c>
      <c r="R167" s="96">
        <f>M170</f>
        <v>8079</v>
      </c>
      <c r="S167" s="351"/>
      <c r="T167" s="78"/>
      <c r="U167" s="78"/>
      <c r="V167" s="78"/>
      <c r="W167" s="96"/>
      <c r="X167" s="351"/>
      <c r="Y167" s="78"/>
      <c r="Z167" s="78"/>
      <c r="AA167" s="78"/>
      <c r="AB167" s="96"/>
      <c r="AC167" s="78"/>
      <c r="AD167" s="78"/>
      <c r="AE167" s="78"/>
      <c r="AF167" s="78"/>
      <c r="AG167" s="96"/>
      <c r="AH167" s="78"/>
      <c r="AI167" s="78"/>
      <c r="AJ167" s="78"/>
      <c r="AK167" s="78"/>
      <c r="AL167" s="96"/>
      <c r="AM167" s="78"/>
      <c r="AN167" s="78"/>
      <c r="AO167" s="78"/>
      <c r="AP167" s="78"/>
      <c r="AQ167" s="96"/>
    </row>
    <row r="168" spans="2:44" s="38" customFormat="1" ht="17.25" outlineLevel="1" x14ac:dyDescent="0.4">
      <c r="B168" s="265" t="s">
        <v>21</v>
      </c>
      <c r="C168" s="266"/>
      <c r="D168" s="80">
        <f>D167+D166</f>
        <v>6456</v>
      </c>
      <c r="E168" s="80">
        <f t="shared" ref="E168:G168" si="184">E167+E166</f>
        <v>5108</v>
      </c>
      <c r="F168" s="80">
        <f t="shared" si="184"/>
        <v>6038</v>
      </c>
      <c r="G168" s="80">
        <f t="shared" si="184"/>
        <v>8903</v>
      </c>
      <c r="H168" s="81">
        <f>+G168</f>
        <v>8903</v>
      </c>
      <c r="I168" s="80">
        <f>I167+I166</f>
        <v>7283</v>
      </c>
      <c r="J168" s="80">
        <f t="shared" ref="J168" si="185">J167+J166</f>
        <v>6401</v>
      </c>
      <c r="K168" s="80">
        <f t="shared" ref="K168" si="186">K167+K166</f>
        <v>7338</v>
      </c>
      <c r="L168" s="80">
        <f t="shared" ref="L168" si="187">L167+L166</f>
        <v>8204</v>
      </c>
      <c r="M168" s="81">
        <f>+L168</f>
        <v>8204</v>
      </c>
      <c r="N168" s="80">
        <f>N167+N166</f>
        <v>12210</v>
      </c>
      <c r="O168" s="80">
        <f t="shared" ref="O168" si="188">O167+O166</f>
        <v>11669</v>
      </c>
      <c r="P168" s="80">
        <f t="shared" ref="P168" si="189">P167+P166</f>
        <v>9744</v>
      </c>
      <c r="Q168" s="80">
        <f t="shared" ref="Q168" si="190">Q167+Q166</f>
        <v>10124</v>
      </c>
      <c r="R168" s="81">
        <f>+Q168</f>
        <v>10124</v>
      </c>
      <c r="S168" s="353"/>
      <c r="T168" s="80"/>
      <c r="U168" s="80"/>
      <c r="V168" s="80"/>
      <c r="W168" s="81"/>
      <c r="X168" s="353"/>
      <c r="Y168" s="80"/>
      <c r="Z168" s="80"/>
      <c r="AA168" s="80"/>
      <c r="AB168" s="81"/>
      <c r="AC168" s="80"/>
      <c r="AD168" s="80"/>
      <c r="AE168" s="80"/>
      <c r="AF168" s="80"/>
      <c r="AG168" s="81"/>
      <c r="AH168" s="80"/>
      <c r="AI168" s="80"/>
      <c r="AJ168" s="80"/>
      <c r="AK168" s="80"/>
      <c r="AL168" s="81"/>
      <c r="AM168" s="80"/>
      <c r="AN168" s="80"/>
      <c r="AO168" s="80"/>
      <c r="AP168" s="80"/>
      <c r="AQ168" s="81"/>
    </row>
    <row r="169" spans="2:44" ht="17.25" outlineLevel="1" x14ac:dyDescent="0.4">
      <c r="B169" s="262" t="s">
        <v>242</v>
      </c>
      <c r="C169" s="263"/>
      <c r="D169" s="78"/>
      <c r="E169" s="78"/>
      <c r="F169" s="78"/>
      <c r="G169" s="78"/>
      <c r="H169" s="96"/>
      <c r="I169" s="78">
        <f>85+94</f>
        <v>179</v>
      </c>
      <c r="J169" s="78">
        <f>59+91-1</f>
        <v>149</v>
      </c>
      <c r="K169" s="78">
        <f>41+97-1</f>
        <v>137</v>
      </c>
      <c r="L169" s="78">
        <f>18+107</f>
        <v>125</v>
      </c>
      <c r="M169" s="96">
        <f>+L169</f>
        <v>125</v>
      </c>
      <c r="N169" s="78">
        <v>128</v>
      </c>
      <c r="O169" s="78">
        <f>11+105+1</f>
        <v>117</v>
      </c>
      <c r="P169" s="78">
        <v>107</v>
      </c>
      <c r="Q169" s="78">
        <f>10+95</f>
        <v>105</v>
      </c>
      <c r="R169" s="96">
        <f>+Q169</f>
        <v>105</v>
      </c>
      <c r="S169" s="351"/>
      <c r="T169" s="78"/>
      <c r="U169" s="78"/>
      <c r="V169" s="78"/>
      <c r="W169" s="96"/>
      <c r="X169" s="351"/>
      <c r="Y169" s="78"/>
      <c r="Z169" s="78"/>
      <c r="AA169" s="78"/>
      <c r="AB169" s="96"/>
      <c r="AC169" s="78"/>
      <c r="AD169" s="78"/>
      <c r="AE169" s="78"/>
      <c r="AF169" s="78"/>
      <c r="AG169" s="96"/>
      <c r="AH169" s="78"/>
      <c r="AI169" s="78"/>
      <c r="AJ169" s="78"/>
      <c r="AK169" s="78"/>
      <c r="AL169" s="96"/>
      <c r="AM169" s="78"/>
      <c r="AN169" s="78"/>
      <c r="AO169" s="78"/>
      <c r="AP169" s="78"/>
      <c r="AQ169" s="96"/>
    </row>
    <row r="170" spans="2:44" outlineLevel="1" x14ac:dyDescent="0.25">
      <c r="B170" s="410" t="s">
        <v>240</v>
      </c>
      <c r="C170" s="411"/>
      <c r="D170" s="85">
        <f t="shared" ref="D170:P170" si="191">D168-D169</f>
        <v>6456</v>
      </c>
      <c r="E170" s="85">
        <f t="shared" si="191"/>
        <v>5108</v>
      </c>
      <c r="F170" s="85">
        <f t="shared" si="191"/>
        <v>6038</v>
      </c>
      <c r="G170" s="85">
        <f t="shared" si="191"/>
        <v>8903</v>
      </c>
      <c r="H170" s="86">
        <f t="shared" si="191"/>
        <v>8903</v>
      </c>
      <c r="I170" s="85">
        <f>I168-I169</f>
        <v>7104</v>
      </c>
      <c r="J170" s="85">
        <f t="shared" si="191"/>
        <v>6252</v>
      </c>
      <c r="K170" s="85">
        <f t="shared" si="191"/>
        <v>7201</v>
      </c>
      <c r="L170" s="85">
        <f t="shared" si="191"/>
        <v>8079</v>
      </c>
      <c r="M170" s="86">
        <f t="shared" si="191"/>
        <v>8079</v>
      </c>
      <c r="N170" s="85">
        <f t="shared" si="191"/>
        <v>12082</v>
      </c>
      <c r="O170" s="85">
        <f t="shared" si="191"/>
        <v>11552</v>
      </c>
      <c r="P170" s="85">
        <f t="shared" si="191"/>
        <v>9637</v>
      </c>
      <c r="Q170" s="85">
        <f>Q168-Q169</f>
        <v>10019</v>
      </c>
      <c r="R170" s="86">
        <f t="shared" ref="R170" si="192">R168-R169</f>
        <v>10019</v>
      </c>
      <c r="S170" s="352"/>
      <c r="T170" s="85"/>
      <c r="U170" s="85"/>
      <c r="V170" s="85"/>
      <c r="W170" s="86"/>
      <c r="X170" s="352"/>
      <c r="Y170" s="85"/>
      <c r="Z170" s="85"/>
      <c r="AA170" s="85"/>
      <c r="AB170" s="86"/>
      <c r="AC170" s="85"/>
      <c r="AD170" s="85"/>
      <c r="AE170" s="85"/>
      <c r="AF170" s="85"/>
      <c r="AG170" s="86"/>
      <c r="AH170" s="85"/>
      <c r="AI170" s="85"/>
      <c r="AJ170" s="85"/>
      <c r="AK170" s="85"/>
      <c r="AL170" s="86"/>
      <c r="AM170" s="85"/>
      <c r="AN170" s="85"/>
      <c r="AO170" s="85"/>
      <c r="AP170" s="85"/>
      <c r="AQ170" s="86"/>
    </row>
    <row r="171" spans="2:44" s="87" customFormat="1" outlineLevel="1" x14ac:dyDescent="0.25">
      <c r="B171" s="406" t="s">
        <v>91</v>
      </c>
      <c r="C171" s="407"/>
      <c r="D171" s="162"/>
      <c r="E171" s="162"/>
      <c r="F171" s="162"/>
      <c r="G171" s="162"/>
      <c r="H171" s="303">
        <f>H150-(-H152)</f>
        <v>11617</v>
      </c>
      <c r="I171" s="162">
        <f t="shared" ref="I171:Q171" si="193">I150-(-I152)</f>
        <v>3787</v>
      </c>
      <c r="J171" s="162">
        <f t="shared" si="193"/>
        <v>3915</v>
      </c>
      <c r="K171" s="162">
        <f t="shared" si="193"/>
        <v>4373</v>
      </c>
      <c r="L171" s="162">
        <f t="shared" si="193"/>
        <v>5408</v>
      </c>
      <c r="M171" s="303">
        <f>M150-(-M152)</f>
        <v>17483</v>
      </c>
      <c r="N171" s="162">
        <f t="shared" si="193"/>
        <v>5048</v>
      </c>
      <c r="O171" s="162">
        <f t="shared" si="193"/>
        <v>2839</v>
      </c>
      <c r="P171" s="162">
        <f t="shared" si="193"/>
        <v>4156</v>
      </c>
      <c r="Q171" s="162">
        <f t="shared" si="193"/>
        <v>3316</v>
      </c>
      <c r="R171" s="303">
        <f>R150-(-R152)</f>
        <v>15359</v>
      </c>
      <c r="S171" s="350"/>
      <c r="T171" s="77"/>
      <c r="U171" s="77"/>
      <c r="V171" s="77"/>
      <c r="W171" s="86"/>
      <c r="X171" s="350"/>
      <c r="Y171" s="77"/>
      <c r="Z171" s="77"/>
      <c r="AA171" s="77"/>
      <c r="AB171" s="86"/>
      <c r="AC171" s="77"/>
      <c r="AD171" s="77"/>
      <c r="AE171" s="77"/>
      <c r="AF171" s="77"/>
      <c r="AG171" s="86"/>
      <c r="AH171" s="77"/>
      <c r="AI171" s="77"/>
      <c r="AJ171" s="77"/>
      <c r="AK171" s="77"/>
      <c r="AL171" s="86"/>
      <c r="AM171" s="77"/>
      <c r="AN171" s="77"/>
      <c r="AO171" s="77"/>
      <c r="AP171" s="77"/>
      <c r="AQ171" s="86"/>
      <c r="AR171" s="200"/>
    </row>
    <row r="172" spans="2:44" s="87" customFormat="1" outlineLevel="1" x14ac:dyDescent="0.25">
      <c r="B172" s="103" t="s">
        <v>56</v>
      </c>
      <c r="C172" s="94"/>
      <c r="D172" s="164"/>
      <c r="E172" s="164"/>
      <c r="F172" s="164"/>
      <c r="G172" s="164"/>
      <c r="H172" s="165">
        <v>0</v>
      </c>
      <c r="I172" s="164"/>
      <c r="J172" s="164"/>
      <c r="K172" s="164"/>
      <c r="L172" s="164"/>
      <c r="M172" s="165">
        <v>0</v>
      </c>
      <c r="N172" s="164"/>
      <c r="O172" s="164"/>
      <c r="P172" s="164"/>
      <c r="Q172" s="164"/>
      <c r="R172" s="165">
        <v>0</v>
      </c>
      <c r="S172" s="350"/>
      <c r="T172" s="77"/>
      <c r="U172" s="77"/>
      <c r="V172" s="77"/>
      <c r="W172" s="88"/>
      <c r="X172" s="350"/>
      <c r="Y172" s="77"/>
      <c r="Z172" s="77"/>
      <c r="AA172" s="77"/>
      <c r="AB172" s="88"/>
      <c r="AC172" s="77"/>
      <c r="AD172" s="77"/>
      <c r="AE172" s="77"/>
      <c r="AF172" s="77"/>
      <c r="AG172" s="88"/>
      <c r="AH172" s="77"/>
      <c r="AI172" s="77"/>
      <c r="AJ172" s="77"/>
      <c r="AK172" s="77"/>
      <c r="AL172" s="88"/>
      <c r="AM172" s="77"/>
      <c r="AN172" s="77"/>
      <c r="AO172" s="77"/>
      <c r="AP172" s="77"/>
      <c r="AQ172" s="88"/>
    </row>
    <row r="173" spans="2:44" s="87" customFormat="1" outlineLevel="1" x14ac:dyDescent="0.25">
      <c r="B173" s="404" t="s">
        <v>30</v>
      </c>
      <c r="C173" s="405"/>
      <c r="D173" s="168"/>
      <c r="E173" s="168"/>
      <c r="F173" s="168"/>
      <c r="G173" s="168"/>
      <c r="H173" s="299"/>
      <c r="I173" s="168"/>
      <c r="J173" s="168"/>
      <c r="K173" s="168"/>
      <c r="L173" s="168"/>
      <c r="M173" s="169"/>
      <c r="N173" s="168"/>
      <c r="O173" s="168"/>
      <c r="P173" s="168"/>
      <c r="Q173" s="168"/>
      <c r="R173" s="169"/>
      <c r="S173" s="350"/>
      <c r="T173" s="77"/>
      <c r="U173" s="77"/>
      <c r="V173" s="77"/>
      <c r="W173" s="88"/>
      <c r="X173" s="350"/>
      <c r="Y173" s="77"/>
      <c r="Z173" s="77"/>
      <c r="AA173" s="77"/>
      <c r="AB173" s="88"/>
      <c r="AC173" s="77"/>
      <c r="AD173" s="77"/>
      <c r="AE173" s="77"/>
      <c r="AF173" s="77"/>
      <c r="AG173" s="88"/>
      <c r="AH173" s="77"/>
      <c r="AI173" s="77"/>
      <c r="AJ173" s="77"/>
      <c r="AK173" s="77"/>
      <c r="AL173" s="88"/>
      <c r="AM173" s="77"/>
      <c r="AN173" s="77"/>
      <c r="AO173" s="77"/>
      <c r="AP173" s="77"/>
      <c r="AQ173" s="88"/>
    </row>
    <row r="174" spans="2:44" outlineLevel="1" x14ac:dyDescent="0.25">
      <c r="B174" s="124" t="s">
        <v>67</v>
      </c>
      <c r="C174" s="156"/>
      <c r="D174" s="132"/>
      <c r="E174" s="51"/>
      <c r="F174" s="51"/>
      <c r="G174" s="51"/>
      <c r="H174" s="52"/>
      <c r="I174" s="51"/>
      <c r="J174" s="51"/>
      <c r="K174" s="51"/>
      <c r="L174" s="51"/>
      <c r="M174" s="52"/>
      <c r="N174" s="51"/>
      <c r="O174" s="51"/>
      <c r="P174" s="51"/>
      <c r="Q174" s="51"/>
      <c r="R174" s="52"/>
      <c r="S174" s="349"/>
      <c r="T174" s="28"/>
      <c r="U174" s="28"/>
      <c r="V174" s="28"/>
      <c r="W174" s="339"/>
      <c r="X174" s="349"/>
      <c r="Y174" s="28"/>
      <c r="Z174" s="28"/>
      <c r="AA174" s="28"/>
      <c r="AB174" s="339"/>
      <c r="AC174" s="28"/>
      <c r="AD174" s="28"/>
      <c r="AE174" s="28"/>
      <c r="AF174" s="28"/>
      <c r="AG174" s="339"/>
      <c r="AH174" s="28"/>
      <c r="AI174" s="28"/>
      <c r="AJ174" s="28"/>
      <c r="AK174" s="28"/>
      <c r="AL174" s="339"/>
      <c r="AM174" s="28"/>
      <c r="AN174" s="28"/>
      <c r="AO174" s="28"/>
      <c r="AP174" s="28"/>
      <c r="AQ174" s="339"/>
    </row>
    <row r="175" spans="2:44" outlineLevel="1" x14ac:dyDescent="0.25">
      <c r="B175" s="139" t="s">
        <v>93</v>
      </c>
      <c r="C175" s="140"/>
      <c r="D175" s="70">
        <f t="shared" ref="D175:R175" si="194">+D94</f>
        <v>6456</v>
      </c>
      <c r="E175" s="70">
        <f t="shared" si="194"/>
        <v>5108</v>
      </c>
      <c r="F175" s="70">
        <f t="shared" si="194"/>
        <v>6038</v>
      </c>
      <c r="G175" s="70">
        <f t="shared" si="194"/>
        <v>8903</v>
      </c>
      <c r="H175" s="71">
        <f t="shared" si="194"/>
        <v>8903</v>
      </c>
      <c r="I175" s="70">
        <f t="shared" si="194"/>
        <v>7104</v>
      </c>
      <c r="J175" s="70">
        <f t="shared" si="194"/>
        <v>6252</v>
      </c>
      <c r="K175" s="70">
        <f t="shared" si="194"/>
        <v>7201</v>
      </c>
      <c r="L175" s="70">
        <f t="shared" si="194"/>
        <v>8079</v>
      </c>
      <c r="M175" s="71">
        <f t="shared" si="194"/>
        <v>8079</v>
      </c>
      <c r="N175" s="70">
        <f t="shared" si="194"/>
        <v>12082</v>
      </c>
      <c r="O175" s="70">
        <f t="shared" si="194"/>
        <v>11552</v>
      </c>
      <c r="P175" s="70">
        <f t="shared" si="194"/>
        <v>9637</v>
      </c>
      <c r="Q175" s="70">
        <f t="shared" si="194"/>
        <v>10019</v>
      </c>
      <c r="R175" s="71">
        <f t="shared" si="194"/>
        <v>10019</v>
      </c>
      <c r="S175" s="77"/>
      <c r="T175" s="77"/>
      <c r="U175" s="77"/>
      <c r="V175" s="77"/>
      <c r="W175" s="88"/>
      <c r="X175" s="350"/>
      <c r="Y175" s="77"/>
      <c r="Z175" s="77"/>
      <c r="AA175" s="77"/>
      <c r="AB175" s="88"/>
      <c r="AC175" s="77"/>
      <c r="AD175" s="77"/>
      <c r="AE175" s="77"/>
      <c r="AF175" s="77"/>
      <c r="AG175" s="88"/>
      <c r="AH175" s="77"/>
      <c r="AI175" s="77"/>
      <c r="AJ175" s="77"/>
      <c r="AK175" s="77"/>
      <c r="AL175" s="88"/>
      <c r="AM175" s="77"/>
      <c r="AN175" s="77"/>
      <c r="AO175" s="77"/>
      <c r="AP175" s="77"/>
      <c r="AQ175" s="88"/>
    </row>
    <row r="176" spans="2:44" outlineLevel="1" x14ac:dyDescent="0.25">
      <c r="B176" s="139" t="s">
        <v>92</v>
      </c>
      <c r="C176" s="140"/>
      <c r="D176" s="70">
        <v>0</v>
      </c>
      <c r="E176" s="70">
        <v>0</v>
      </c>
      <c r="F176" s="70">
        <v>0</v>
      </c>
      <c r="G176" s="70">
        <v>0</v>
      </c>
      <c r="H176" s="71">
        <v>0</v>
      </c>
      <c r="I176" s="70">
        <v>0</v>
      </c>
      <c r="J176" s="70">
        <v>0</v>
      </c>
      <c r="K176" s="70">
        <v>0</v>
      </c>
      <c r="L176" s="70">
        <v>0</v>
      </c>
      <c r="M176" s="71">
        <v>0</v>
      </c>
      <c r="N176" s="70">
        <v>0</v>
      </c>
      <c r="O176" s="70">
        <v>0</v>
      </c>
      <c r="P176" s="70">
        <v>0</v>
      </c>
      <c r="Q176" s="70">
        <v>0</v>
      </c>
      <c r="R176" s="71">
        <v>0</v>
      </c>
      <c r="S176" s="77"/>
      <c r="T176" s="77"/>
      <c r="U176" s="77"/>
      <c r="V176" s="77"/>
      <c r="W176" s="88"/>
      <c r="X176" s="350"/>
      <c r="Y176" s="77"/>
      <c r="Z176" s="77"/>
      <c r="AA176" s="77"/>
      <c r="AB176" s="88"/>
      <c r="AC176" s="77"/>
      <c r="AD176" s="77"/>
      <c r="AE176" s="77"/>
      <c r="AF176" s="77"/>
      <c r="AG176" s="88"/>
      <c r="AH176" s="77"/>
      <c r="AI176" s="77"/>
      <c r="AJ176" s="77"/>
      <c r="AK176" s="77"/>
      <c r="AL176" s="88"/>
      <c r="AM176" s="77"/>
      <c r="AN176" s="77"/>
      <c r="AO176" s="77"/>
      <c r="AP176" s="77"/>
      <c r="AQ176" s="88"/>
    </row>
    <row r="177" spans="2:43" outlineLevel="1" x14ac:dyDescent="0.25">
      <c r="B177" s="408" t="s">
        <v>94</v>
      </c>
      <c r="C177" s="409"/>
      <c r="D177" s="133">
        <f t="shared" ref="D177:R177" si="195">(D175+D176)/D29</f>
        <v>2.2354570637119116</v>
      </c>
      <c r="E177" s="133">
        <f t="shared" si="195"/>
        <v>1.7589531680440771</v>
      </c>
      <c r="F177" s="133">
        <f t="shared" si="195"/>
        <v>2.0713550600343051</v>
      </c>
      <c r="G177" s="133">
        <f t="shared" si="195"/>
        <v>3.0302927161334239</v>
      </c>
      <c r="H177" s="134">
        <f t="shared" si="195"/>
        <v>3.0437606837606839</v>
      </c>
      <c r="I177" s="133">
        <f t="shared" si="195"/>
        <v>2.4130434782608696</v>
      </c>
      <c r="J177" s="133">
        <f t="shared" si="195"/>
        <v>2.1186038630972552</v>
      </c>
      <c r="K177" s="133">
        <f t="shared" si="195"/>
        <v>2.4360622462787549</v>
      </c>
      <c r="L177" s="133">
        <f t="shared" si="195"/>
        <v>2.7349356804333107</v>
      </c>
      <c r="M177" s="134">
        <f t="shared" si="195"/>
        <v>2.733085250338295</v>
      </c>
      <c r="N177" s="133">
        <f t="shared" si="195"/>
        <v>4.1025466893039049</v>
      </c>
      <c r="O177" s="133">
        <f t="shared" si="195"/>
        <v>3.9426621160409558</v>
      </c>
      <c r="P177" s="133">
        <f t="shared" si="195"/>
        <v>3.3082732578098182</v>
      </c>
      <c r="Q177" s="133">
        <f t="shared" si="195"/>
        <v>3.4715869715869716</v>
      </c>
      <c r="R177" s="134">
        <f t="shared" si="195"/>
        <v>3.4299897295446766</v>
      </c>
      <c r="S177" s="340"/>
      <c r="T177" s="340"/>
      <c r="U177" s="340"/>
      <c r="V177" s="340"/>
      <c r="W177" s="341"/>
      <c r="X177" s="354"/>
      <c r="Y177" s="340"/>
      <c r="Z177" s="340"/>
      <c r="AA177" s="340"/>
      <c r="AB177" s="341"/>
      <c r="AC177" s="340"/>
      <c r="AD177" s="340"/>
      <c r="AE177" s="340"/>
      <c r="AF177" s="340"/>
      <c r="AG177" s="341"/>
      <c r="AH177" s="340"/>
      <c r="AI177" s="340"/>
      <c r="AJ177" s="340"/>
      <c r="AK177" s="340"/>
      <c r="AL177" s="341"/>
      <c r="AM177" s="340"/>
      <c r="AN177" s="340"/>
      <c r="AO177" s="340"/>
      <c r="AP177" s="340"/>
      <c r="AQ177" s="341"/>
    </row>
    <row r="178" spans="2:43" x14ac:dyDescent="0.25">
      <c r="B178" s="403"/>
      <c r="C178" s="403"/>
      <c r="D178" s="59"/>
      <c r="E178" s="58"/>
      <c r="F178" s="58"/>
      <c r="G178" s="59"/>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row>
    <row r="179" spans="2:43" ht="15.75" x14ac:dyDescent="0.25">
      <c r="B179" s="374" t="s">
        <v>26</v>
      </c>
      <c r="C179" s="375"/>
      <c r="D179" s="67" t="s">
        <v>152</v>
      </c>
      <c r="E179" s="67" t="s">
        <v>153</v>
      </c>
      <c r="F179" s="67" t="s">
        <v>154</v>
      </c>
      <c r="G179" s="67" t="s">
        <v>155</v>
      </c>
      <c r="H179" s="176" t="s">
        <v>155</v>
      </c>
      <c r="I179" s="67" t="s">
        <v>139</v>
      </c>
      <c r="J179" s="67" t="s">
        <v>144</v>
      </c>
      <c r="K179" s="67" t="s">
        <v>145</v>
      </c>
      <c r="L179" s="67" t="s">
        <v>146</v>
      </c>
      <c r="M179" s="176" t="s">
        <v>146</v>
      </c>
      <c r="N179" s="67" t="s">
        <v>141</v>
      </c>
      <c r="O179" s="67" t="s">
        <v>140</v>
      </c>
      <c r="P179" s="67" t="s">
        <v>142</v>
      </c>
      <c r="Q179" s="67" t="s">
        <v>143</v>
      </c>
      <c r="R179" s="176" t="s">
        <v>143</v>
      </c>
      <c r="S179" s="69" t="s">
        <v>161</v>
      </c>
      <c r="T179" s="69" t="s">
        <v>162</v>
      </c>
      <c r="U179" s="69" t="s">
        <v>163</v>
      </c>
      <c r="V179" s="69" t="s">
        <v>164</v>
      </c>
      <c r="W179" s="180" t="s">
        <v>164</v>
      </c>
      <c r="X179" s="69" t="s">
        <v>165</v>
      </c>
      <c r="Y179" s="69" t="s">
        <v>166</v>
      </c>
      <c r="Z179" s="69" t="s">
        <v>167</v>
      </c>
      <c r="AA179" s="69" t="s">
        <v>168</v>
      </c>
      <c r="AB179" s="180" t="s">
        <v>168</v>
      </c>
      <c r="AC179" s="69" t="s">
        <v>169</v>
      </c>
      <c r="AD179" s="69" t="s">
        <v>170</v>
      </c>
      <c r="AE179" s="69" t="s">
        <v>171</v>
      </c>
      <c r="AF179" s="69" t="s">
        <v>172</v>
      </c>
      <c r="AG179" s="180" t="s">
        <v>172</v>
      </c>
      <c r="AH179" s="69" t="s">
        <v>173</v>
      </c>
      <c r="AI179" s="69" t="s">
        <v>174</v>
      </c>
      <c r="AJ179" s="69" t="s">
        <v>175</v>
      </c>
      <c r="AK179" s="69" t="s">
        <v>176</v>
      </c>
      <c r="AL179" s="180" t="s">
        <v>176</v>
      </c>
      <c r="AM179" s="69" t="s">
        <v>177</v>
      </c>
      <c r="AN179" s="69" t="s">
        <v>178</v>
      </c>
      <c r="AO179" s="69" t="s">
        <v>179</v>
      </c>
      <c r="AP179" s="69" t="s">
        <v>180</v>
      </c>
      <c r="AQ179" s="180" t="s">
        <v>180</v>
      </c>
    </row>
    <row r="180" spans="2:43" ht="17.25" x14ac:dyDescent="0.4">
      <c r="B180" s="386"/>
      <c r="C180" s="387"/>
      <c r="D180" s="68" t="s">
        <v>156</v>
      </c>
      <c r="E180" s="68" t="s">
        <v>157</v>
      </c>
      <c r="F180" s="68" t="s">
        <v>158</v>
      </c>
      <c r="G180" s="68" t="s">
        <v>159</v>
      </c>
      <c r="H180" s="177" t="s">
        <v>160</v>
      </c>
      <c r="I180" s="68" t="s">
        <v>147</v>
      </c>
      <c r="J180" s="68" t="s">
        <v>148</v>
      </c>
      <c r="K180" s="68" t="s">
        <v>149</v>
      </c>
      <c r="L180" s="68" t="s">
        <v>150</v>
      </c>
      <c r="M180" s="177" t="s">
        <v>151</v>
      </c>
      <c r="N180" s="68" t="s">
        <v>138</v>
      </c>
      <c r="O180" s="68" t="s">
        <v>137</v>
      </c>
      <c r="P180" s="68" t="s">
        <v>136</v>
      </c>
      <c r="Q180" s="68" t="s">
        <v>135</v>
      </c>
      <c r="R180" s="177" t="s">
        <v>134</v>
      </c>
      <c r="S180" s="66" t="s">
        <v>273</v>
      </c>
      <c r="T180" s="66" t="s">
        <v>274</v>
      </c>
      <c r="U180" s="66" t="s">
        <v>275</v>
      </c>
      <c r="V180" s="66" t="s">
        <v>276</v>
      </c>
      <c r="W180" s="181" t="s">
        <v>277</v>
      </c>
      <c r="X180" s="66" t="s">
        <v>278</v>
      </c>
      <c r="Y180" s="66" t="s">
        <v>279</v>
      </c>
      <c r="Z180" s="66" t="s">
        <v>280</v>
      </c>
      <c r="AA180" s="66" t="s">
        <v>281</v>
      </c>
      <c r="AB180" s="181" t="s">
        <v>282</v>
      </c>
      <c r="AC180" s="66" t="s">
        <v>283</v>
      </c>
      <c r="AD180" s="66" t="s">
        <v>284</v>
      </c>
      <c r="AE180" s="66" t="s">
        <v>285</v>
      </c>
      <c r="AF180" s="66" t="s">
        <v>286</v>
      </c>
      <c r="AG180" s="181" t="s">
        <v>287</v>
      </c>
      <c r="AH180" s="66" t="s">
        <v>288</v>
      </c>
      <c r="AI180" s="66" t="s">
        <v>289</v>
      </c>
      <c r="AJ180" s="66" t="s">
        <v>290</v>
      </c>
      <c r="AK180" s="66" t="s">
        <v>291</v>
      </c>
      <c r="AL180" s="181" t="s">
        <v>292</v>
      </c>
      <c r="AM180" s="66" t="s">
        <v>293</v>
      </c>
      <c r="AN180" s="66" t="s">
        <v>294</v>
      </c>
      <c r="AO180" s="66" t="s">
        <v>295</v>
      </c>
      <c r="AP180" s="66" t="s">
        <v>296</v>
      </c>
      <c r="AQ180" s="181" t="s">
        <v>297</v>
      </c>
    </row>
    <row r="181" spans="2:43" ht="17.25" outlineLevel="1" x14ac:dyDescent="0.4">
      <c r="B181" s="401" t="s">
        <v>96</v>
      </c>
      <c r="C181" s="402"/>
      <c r="D181" s="32"/>
      <c r="E181" s="31"/>
      <c r="F181" s="31"/>
      <c r="G181" s="31"/>
      <c r="H181" s="33"/>
      <c r="I181" s="31"/>
      <c r="J181" s="31"/>
      <c r="K181" s="31"/>
      <c r="L181" s="31"/>
      <c r="M181" s="33"/>
      <c r="N181" s="31"/>
      <c r="O181" s="31"/>
      <c r="P181" s="31"/>
      <c r="Q181" s="31"/>
      <c r="R181" s="33"/>
      <c r="S181" s="31"/>
      <c r="T181" s="31"/>
      <c r="U181" s="31"/>
      <c r="V181" s="31"/>
      <c r="W181" s="33"/>
      <c r="X181" s="31"/>
      <c r="Y181" s="31"/>
      <c r="Z181" s="31"/>
      <c r="AA181" s="31"/>
      <c r="AB181" s="33"/>
      <c r="AC181" s="31"/>
      <c r="AD181" s="31"/>
      <c r="AE181" s="31"/>
      <c r="AF181" s="31"/>
      <c r="AG181" s="33"/>
      <c r="AH181" s="31"/>
      <c r="AI181" s="31"/>
      <c r="AJ181" s="31"/>
      <c r="AK181" s="31"/>
      <c r="AL181" s="33"/>
      <c r="AM181" s="31"/>
      <c r="AN181" s="31"/>
      <c r="AO181" s="31"/>
      <c r="AP181" s="31"/>
      <c r="AQ181" s="33"/>
    </row>
    <row r="182" spans="2:43" s="87" customFormat="1" outlineLevel="1" x14ac:dyDescent="0.25">
      <c r="B182" s="256" t="s">
        <v>102</v>
      </c>
      <c r="C182" s="140"/>
      <c r="D182" s="100">
        <f>D136/D13</f>
        <v>0.13879598662207357</v>
      </c>
      <c r="E182" s="100">
        <f>E136/E13</f>
        <v>0.12507768800497204</v>
      </c>
      <c r="F182" s="100">
        <f>F136/F13</f>
        <v>0.11681643132220795</v>
      </c>
      <c r="G182" s="100">
        <f>G136/G13</f>
        <v>9.6151663071858323E-2</v>
      </c>
      <c r="H182" s="154"/>
      <c r="I182" s="100">
        <f>I136/I13</f>
        <v>0.10794322709163347</v>
      </c>
      <c r="J182" s="100">
        <f>J136/J13</f>
        <v>0.1107177341486965</v>
      </c>
      <c r="K182" s="100">
        <f>K136/K13</f>
        <v>9.7792408985282728E-2</v>
      </c>
      <c r="L182" s="100">
        <f>L136/L13</f>
        <v>6.2750539623805113E-2</v>
      </c>
      <c r="M182" s="154"/>
      <c r="N182" s="100">
        <f>N136/N13</f>
        <v>7.9809460137054991E-2</v>
      </c>
      <c r="O182" s="100">
        <f>O136/O13</f>
        <v>8.9637971430730864E-2</v>
      </c>
      <c r="P182" s="100">
        <f>P136/P13</f>
        <v>7.569024550156625E-2</v>
      </c>
      <c r="Q182" s="100">
        <f>Q136/Q13</f>
        <v>5.7467186945725432E-2</v>
      </c>
      <c r="R182" s="154"/>
      <c r="S182" s="107"/>
      <c r="T182" s="107"/>
      <c r="U182" s="107"/>
      <c r="V182" s="107"/>
      <c r="W182" s="355"/>
      <c r="X182" s="107"/>
      <c r="Y182" s="107"/>
      <c r="Z182" s="107"/>
      <c r="AA182" s="107"/>
      <c r="AB182" s="355"/>
      <c r="AC182" s="107"/>
      <c r="AD182" s="107"/>
      <c r="AE182" s="107"/>
      <c r="AF182" s="107"/>
      <c r="AG182" s="355"/>
      <c r="AH182" s="107"/>
      <c r="AI182" s="107"/>
      <c r="AJ182" s="107"/>
      <c r="AK182" s="107"/>
      <c r="AL182" s="355"/>
      <c r="AM182" s="107"/>
      <c r="AN182" s="107"/>
      <c r="AO182" s="107"/>
      <c r="AP182" s="107"/>
      <c r="AQ182" s="355"/>
    </row>
    <row r="183" spans="2:43" s="112" customFormat="1" outlineLevel="1" x14ac:dyDescent="0.25">
      <c r="B183" s="358" t="s">
        <v>71</v>
      </c>
      <c r="C183" s="359"/>
      <c r="D183" s="104"/>
      <c r="E183" s="104"/>
      <c r="F183" s="104"/>
      <c r="G183" s="104"/>
      <c r="H183" s="119"/>
      <c r="I183" s="104">
        <f t="shared" ref="I183:R183" si="196">I150/D150-1</f>
        <v>0.69560844787127052</v>
      </c>
      <c r="J183" s="104">
        <f t="shared" si="196"/>
        <v>0.67573483427141956</v>
      </c>
      <c r="K183" s="104">
        <f t="shared" si="196"/>
        <v>0.71316745876432774</v>
      </c>
      <c r="L183" s="104">
        <f t="shared" si="196"/>
        <v>0.20803149606299209</v>
      </c>
      <c r="M183" s="119">
        <f t="shared" si="196"/>
        <v>0.50335237149242618</v>
      </c>
      <c r="N183" s="104">
        <f t="shared" si="196"/>
        <v>0.55397390272835123</v>
      </c>
      <c r="O183" s="104">
        <f t="shared" si="196"/>
        <v>0.17540585930210861</v>
      </c>
      <c r="P183" s="104">
        <f t="shared" si="196"/>
        <v>0.22356396866840722</v>
      </c>
      <c r="Q183" s="104">
        <f t="shared" si="196"/>
        <v>-7.0394994133750055E-3</v>
      </c>
      <c r="R183" s="119">
        <f t="shared" si="196"/>
        <v>0.20887016848364715</v>
      </c>
      <c r="S183" s="104"/>
      <c r="T183" s="104"/>
      <c r="U183" s="104"/>
      <c r="V183" s="104"/>
      <c r="W183" s="119"/>
      <c r="X183" s="104"/>
      <c r="Y183" s="104"/>
      <c r="Z183" s="104"/>
      <c r="AA183" s="104"/>
      <c r="AB183" s="119"/>
      <c r="AC183" s="104"/>
      <c r="AD183" s="104"/>
      <c r="AE183" s="104"/>
      <c r="AF183" s="104"/>
      <c r="AG183" s="119"/>
      <c r="AH183" s="104"/>
      <c r="AI183" s="104"/>
      <c r="AJ183" s="104"/>
      <c r="AK183" s="104"/>
      <c r="AL183" s="119"/>
      <c r="AM183" s="104"/>
      <c r="AN183" s="104"/>
      <c r="AO183" s="104"/>
      <c r="AP183" s="104"/>
      <c r="AQ183" s="119"/>
    </row>
    <row r="184" spans="2:43" s="36" customFormat="1" outlineLevel="1" x14ac:dyDescent="0.25">
      <c r="B184" s="153" t="s">
        <v>97</v>
      </c>
      <c r="C184" s="179"/>
      <c r="D184" s="100">
        <f t="shared" ref="D184:R184" si="197">-D152/D13</f>
        <v>0.2103307320698625</v>
      </c>
      <c r="E184" s="100">
        <f t="shared" si="197"/>
        <v>0.15459912989434432</v>
      </c>
      <c r="F184" s="100">
        <f t="shared" si="197"/>
        <v>0.15618314077877621</v>
      </c>
      <c r="G184" s="100">
        <f t="shared" si="197"/>
        <v>0.14405721421273698</v>
      </c>
      <c r="H184" s="191">
        <f t="shared" si="197"/>
        <v>0.16249366813807078</v>
      </c>
      <c r="I184" s="100">
        <f t="shared" si="197"/>
        <v>0.15824203187250996</v>
      </c>
      <c r="J184" s="100">
        <f t="shared" si="197"/>
        <v>0.15491900010728463</v>
      </c>
      <c r="K184" s="100">
        <f t="shared" si="197"/>
        <v>0.16992641363284275</v>
      </c>
      <c r="L184" s="100">
        <f t="shared" si="197"/>
        <v>0.17445266728337958</v>
      </c>
      <c r="M184" s="191">
        <f t="shared" si="197"/>
        <v>0.16562123336531129</v>
      </c>
      <c r="N184" s="100">
        <f t="shared" si="197"/>
        <v>0.23499916429884674</v>
      </c>
      <c r="O184" s="100">
        <f t="shared" si="197"/>
        <v>0.26150706673720808</v>
      </c>
      <c r="P184" s="100">
        <f t="shared" si="197"/>
        <v>0.24346179063160195</v>
      </c>
      <c r="Q184" s="100">
        <f t="shared" si="197"/>
        <v>0.25428638997280362</v>
      </c>
      <c r="R184" s="191">
        <f t="shared" si="197"/>
        <v>0.24920305168523227</v>
      </c>
      <c r="S184" s="107"/>
      <c r="T184" s="107"/>
      <c r="U184" s="107"/>
      <c r="V184" s="107"/>
      <c r="W184" s="178"/>
      <c r="X184" s="104"/>
      <c r="Y184" s="104"/>
      <c r="Z184" s="104"/>
      <c r="AA184" s="100"/>
      <c r="AB184" s="178"/>
      <c r="AC184" s="100"/>
      <c r="AD184" s="100"/>
      <c r="AE184" s="100"/>
      <c r="AF184" s="100"/>
      <c r="AG184" s="178"/>
      <c r="AH184" s="104"/>
      <c r="AI184" s="104"/>
      <c r="AJ184" s="100"/>
      <c r="AK184" s="100"/>
      <c r="AL184" s="191"/>
      <c r="AM184" s="104"/>
      <c r="AN184" s="104"/>
      <c r="AO184" s="100"/>
      <c r="AP184" s="100"/>
      <c r="AQ184" s="191"/>
    </row>
    <row r="185" spans="2:43" ht="17.25" x14ac:dyDescent="0.4">
      <c r="B185" s="60"/>
      <c r="C185" s="60"/>
      <c r="D185" s="63"/>
      <c r="E185" s="63"/>
      <c r="F185" s="63"/>
      <c r="G185" s="63"/>
      <c r="H185" s="62"/>
      <c r="I185" s="63"/>
      <c r="J185" s="63"/>
      <c r="K185" s="63"/>
      <c r="L185" s="63"/>
      <c r="M185" s="62"/>
      <c r="N185" s="63"/>
      <c r="O185" s="63"/>
      <c r="P185" s="63"/>
      <c r="Q185" s="63"/>
      <c r="R185" s="62"/>
      <c r="S185" s="63"/>
      <c r="T185" s="63"/>
      <c r="U185" s="63"/>
      <c r="V185" s="63"/>
      <c r="W185" s="62"/>
      <c r="X185" s="63"/>
      <c r="Y185" s="63"/>
      <c r="Z185" s="63"/>
      <c r="AA185" s="63"/>
      <c r="AB185" s="62"/>
      <c r="AC185" s="63"/>
      <c r="AD185" s="63"/>
      <c r="AE185" s="63"/>
      <c r="AF185" s="63"/>
      <c r="AG185" s="62"/>
      <c r="AH185" s="63"/>
      <c r="AI185" s="63"/>
      <c r="AJ185" s="63"/>
      <c r="AK185" s="63"/>
      <c r="AL185" s="62"/>
      <c r="AM185" s="63"/>
      <c r="AN185" s="63"/>
      <c r="AO185" s="63"/>
      <c r="AP185" s="63"/>
      <c r="AQ185" s="62"/>
    </row>
    <row r="186" spans="2:43" ht="15.75" x14ac:dyDescent="0.25">
      <c r="B186" s="374" t="s">
        <v>22</v>
      </c>
      <c r="C186" s="429"/>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row>
    <row r="187" spans="2:43" outlineLevel="1" x14ac:dyDescent="0.25">
      <c r="B187" s="131" t="s">
        <v>127</v>
      </c>
      <c r="C187" s="321"/>
      <c r="D187" s="42"/>
      <c r="E187" s="42"/>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row>
    <row r="188" spans="2:43" outlineLevel="1" x14ac:dyDescent="0.25">
      <c r="B188" s="131" t="s">
        <v>54</v>
      </c>
      <c r="C188" s="268"/>
      <c r="D188" s="233"/>
      <c r="E188" s="233"/>
      <c r="F188" s="46"/>
      <c r="G188" s="46"/>
      <c r="H188" s="46"/>
      <c r="I188" s="45"/>
      <c r="J188" s="45"/>
      <c r="K188" s="46"/>
      <c r="L188" s="46"/>
      <c r="M188" s="46"/>
      <c r="N188" s="45"/>
      <c r="O188" s="45"/>
      <c r="P188" s="46"/>
      <c r="Q188" s="46"/>
      <c r="R188" s="46"/>
      <c r="S188" s="45"/>
      <c r="T188" s="45"/>
    </row>
    <row r="189" spans="2:43" outlineLevel="1" x14ac:dyDescent="0.25">
      <c r="B189" s="131" t="s">
        <v>55</v>
      </c>
      <c r="C189" s="427" t="s">
        <v>302</v>
      </c>
      <c r="D189" s="233"/>
      <c r="E189" s="233"/>
      <c r="F189" s="46"/>
      <c r="G189" s="46"/>
      <c r="H189" s="46"/>
      <c r="I189" s="45"/>
      <c r="J189" s="45"/>
      <c r="K189" s="46"/>
      <c r="L189" s="46"/>
      <c r="M189" s="46"/>
      <c r="N189" s="45"/>
      <c r="O189" s="45"/>
      <c r="P189" s="46"/>
      <c r="Q189" s="46"/>
      <c r="R189" s="46"/>
      <c r="S189" s="45"/>
      <c r="T189" s="45"/>
    </row>
    <row r="190" spans="2:43" outlineLevel="1" x14ac:dyDescent="0.25">
      <c r="B190" s="147" t="s">
        <v>39</v>
      </c>
      <c r="C190" s="427"/>
      <c r="D190" s="233"/>
      <c r="E190" s="233"/>
      <c r="F190" s="46"/>
      <c r="G190" s="46"/>
      <c r="H190" s="46"/>
      <c r="I190" s="45"/>
      <c r="J190" s="45"/>
      <c r="K190" s="46"/>
      <c r="L190" s="46"/>
      <c r="M190" s="46"/>
      <c r="N190" s="45"/>
      <c r="O190" s="45"/>
      <c r="P190" s="46"/>
      <c r="Q190" s="46"/>
      <c r="R190" s="46"/>
      <c r="S190" s="45"/>
      <c r="T190" s="45"/>
    </row>
    <row r="191" spans="2:43" ht="17.25" customHeight="1" outlineLevel="1" x14ac:dyDescent="0.25">
      <c r="B191" s="147" t="s">
        <v>128</v>
      </c>
      <c r="C191" s="427"/>
      <c r="D191" s="48"/>
      <c r="E191" s="48"/>
      <c r="F191" s="47"/>
      <c r="G191" s="47"/>
      <c r="H191" s="48"/>
      <c r="I191" s="47"/>
      <c r="J191" s="47"/>
      <c r="K191" s="47"/>
      <c r="L191" s="47"/>
      <c r="M191" s="48"/>
      <c r="N191" s="47"/>
      <c r="O191" s="47"/>
      <c r="P191" s="47"/>
      <c r="Q191" s="47"/>
      <c r="R191" s="48"/>
      <c r="S191" s="47"/>
      <c r="T191" s="47"/>
      <c r="U191" s="47"/>
      <c r="V191" s="47"/>
      <c r="W191" s="48"/>
      <c r="X191" s="47"/>
      <c r="Y191" s="47"/>
      <c r="Z191" s="47"/>
      <c r="AA191" s="47"/>
      <c r="AB191" s="48"/>
      <c r="AC191" s="47"/>
      <c r="AD191" s="47"/>
      <c r="AE191" s="47"/>
      <c r="AF191" s="47"/>
      <c r="AG191" s="48"/>
      <c r="AH191" s="47"/>
      <c r="AI191" s="47"/>
      <c r="AJ191" s="47"/>
      <c r="AK191" s="47"/>
      <c r="AL191" s="48"/>
      <c r="AM191" s="47"/>
      <c r="AN191" s="47"/>
      <c r="AO191" s="47"/>
      <c r="AP191" s="47"/>
      <c r="AQ191" s="48"/>
    </row>
    <row r="192" spans="2:43" outlineLevel="1" x14ac:dyDescent="0.25">
      <c r="B192" s="267" t="s">
        <v>58</v>
      </c>
      <c r="C192" s="428"/>
      <c r="D192" s="234"/>
      <c r="E192" s="233"/>
      <c r="F192" s="46"/>
      <c r="G192" s="46"/>
      <c r="H192" s="46"/>
      <c r="I192" s="45"/>
      <c r="J192" s="45"/>
      <c r="K192" s="46"/>
      <c r="L192" s="46"/>
      <c r="M192" s="46"/>
      <c r="N192" s="45"/>
      <c r="O192" s="45"/>
      <c r="P192" s="46"/>
      <c r="Q192" s="46"/>
      <c r="R192" s="46"/>
      <c r="S192" s="45"/>
      <c r="T192" s="45"/>
    </row>
    <row r="193" spans="2:8" ht="15" customHeight="1" x14ac:dyDescent="0.25">
      <c r="B193" s="235"/>
      <c r="C193" s="329"/>
      <c r="D193" s="57"/>
      <c r="E193" s="43"/>
    </row>
    <row r="194" spans="2:8" ht="15.75" x14ac:dyDescent="0.25">
      <c r="B194" s="374" t="s">
        <v>31</v>
      </c>
      <c r="C194" s="429"/>
      <c r="D194" s="57"/>
      <c r="E194" s="43"/>
    </row>
    <row r="195" spans="2:8" outlineLevel="1" x14ac:dyDescent="0.25">
      <c r="B195" s="184" t="s">
        <v>100</v>
      </c>
      <c r="C195" s="64"/>
      <c r="D195" s="57"/>
      <c r="E195" s="43"/>
    </row>
    <row r="196" spans="2:8" outlineLevel="1" x14ac:dyDescent="0.25">
      <c r="B196" s="185" t="s">
        <v>123</v>
      </c>
      <c r="C196" s="425" t="s">
        <v>302</v>
      </c>
      <c r="D196" s="57"/>
      <c r="E196" s="43"/>
      <c r="F196" s="243"/>
      <c r="G196" s="243"/>
      <c r="H196" s="243"/>
    </row>
    <row r="197" spans="2:8" outlineLevel="1" x14ac:dyDescent="0.25">
      <c r="B197" s="185" t="s">
        <v>32</v>
      </c>
      <c r="C197" s="425"/>
      <c r="D197" s="57"/>
      <c r="E197" s="43"/>
    </row>
    <row r="198" spans="2:8" outlineLevel="1" x14ac:dyDescent="0.25">
      <c r="B198" s="187" t="s">
        <v>33</v>
      </c>
      <c r="C198" s="425"/>
      <c r="D198" s="57"/>
      <c r="E198" s="43"/>
    </row>
    <row r="199" spans="2:8" outlineLevel="1" x14ac:dyDescent="0.25">
      <c r="B199" s="186" t="s">
        <v>47</v>
      </c>
      <c r="C199" s="425"/>
      <c r="D199" s="57"/>
      <c r="E199" s="43"/>
    </row>
    <row r="200" spans="2:8" outlineLevel="1" x14ac:dyDescent="0.25">
      <c r="B200" s="186" t="s">
        <v>129</v>
      </c>
      <c r="C200" s="425"/>
      <c r="D200" s="57"/>
      <c r="E200" s="43"/>
    </row>
    <row r="201" spans="2:8" outlineLevel="1" x14ac:dyDescent="0.25">
      <c r="B201" s="186" t="s">
        <v>130</v>
      </c>
      <c r="C201" s="425"/>
      <c r="D201" s="57"/>
      <c r="E201" s="43"/>
    </row>
    <row r="202" spans="2:8" outlineLevel="1" x14ac:dyDescent="0.25">
      <c r="B202" s="188" t="s">
        <v>34</v>
      </c>
      <c r="C202" s="425"/>
      <c r="D202" s="57"/>
      <c r="E202" s="43"/>
    </row>
    <row r="203" spans="2:8" outlineLevel="1" x14ac:dyDescent="0.25">
      <c r="B203" s="186" t="s">
        <v>124</v>
      </c>
      <c r="C203" s="425"/>
    </row>
    <row r="204" spans="2:8" outlineLevel="1" x14ac:dyDescent="0.25">
      <c r="B204" s="187" t="s">
        <v>35</v>
      </c>
      <c r="C204" s="425"/>
    </row>
    <row r="205" spans="2:8" outlineLevel="1" x14ac:dyDescent="0.25">
      <c r="B205" s="131" t="s">
        <v>36</v>
      </c>
      <c r="C205" s="425"/>
    </row>
    <row r="206" spans="2:8" outlineLevel="1" x14ac:dyDescent="0.25">
      <c r="B206" s="131" t="s">
        <v>37</v>
      </c>
      <c r="C206" s="425"/>
    </row>
    <row r="207" spans="2:8" outlineLevel="1" x14ac:dyDescent="0.25">
      <c r="B207" s="131" t="s">
        <v>2</v>
      </c>
      <c r="C207" s="425"/>
    </row>
    <row r="208" spans="2:8" outlineLevel="1" x14ac:dyDescent="0.25">
      <c r="B208" s="131" t="s">
        <v>38</v>
      </c>
      <c r="C208" s="425"/>
    </row>
    <row r="209" spans="2:3" outlineLevel="1" x14ac:dyDescent="0.25">
      <c r="B209" s="189" t="s">
        <v>101</v>
      </c>
      <c r="C209" s="425"/>
    </row>
    <row r="210" spans="2:3" outlineLevel="1" x14ac:dyDescent="0.25">
      <c r="B210" s="356" t="s">
        <v>131</v>
      </c>
      <c r="C210" s="425"/>
    </row>
    <row r="211" spans="2:3" outlineLevel="1" x14ac:dyDescent="0.25">
      <c r="B211" s="135" t="s">
        <v>48</v>
      </c>
      <c r="C211" s="425"/>
    </row>
    <row r="212" spans="2:3" outlineLevel="1" x14ac:dyDescent="0.25">
      <c r="B212" s="135" t="s">
        <v>49</v>
      </c>
      <c r="C212" s="425"/>
    </row>
    <row r="213" spans="2:3" outlineLevel="1" x14ac:dyDescent="0.25">
      <c r="B213" s="135" t="s">
        <v>99</v>
      </c>
      <c r="C213" s="425"/>
    </row>
    <row r="214" spans="2:3" outlineLevel="1" x14ac:dyDescent="0.25">
      <c r="B214" s="135" t="s">
        <v>132</v>
      </c>
      <c r="C214" s="425"/>
    </row>
    <row r="215" spans="2:3" outlineLevel="1" x14ac:dyDescent="0.25">
      <c r="B215" s="190" t="s">
        <v>50</v>
      </c>
      <c r="C215" s="425"/>
    </row>
    <row r="216" spans="2:3" outlineLevel="1" x14ac:dyDescent="0.25">
      <c r="B216" s="135" t="s">
        <v>104</v>
      </c>
      <c r="C216" s="425"/>
    </row>
    <row r="217" spans="2:3" outlineLevel="1" x14ac:dyDescent="0.25">
      <c r="B217" s="135" t="s">
        <v>103</v>
      </c>
      <c r="C217" s="425"/>
    </row>
    <row r="218" spans="2:3" outlineLevel="1" x14ac:dyDescent="0.25">
      <c r="B218" s="135" t="s">
        <v>57</v>
      </c>
      <c r="C218" s="425"/>
    </row>
    <row r="219" spans="2:3" outlineLevel="1" x14ac:dyDescent="0.25">
      <c r="B219" s="267" t="s">
        <v>59</v>
      </c>
      <c r="C219" s="426"/>
    </row>
    <row r="220" spans="2:3" ht="13.5" customHeight="1" x14ac:dyDescent="0.25">
      <c r="C220" s="65"/>
    </row>
    <row r="221" spans="2:3" ht="15.75" x14ac:dyDescent="0.25">
      <c r="B221" s="374" t="s">
        <v>133</v>
      </c>
      <c r="C221" s="429"/>
    </row>
    <row r="222" spans="2:3" outlineLevel="1" x14ac:dyDescent="0.25">
      <c r="B222" s="203" t="s">
        <v>73</v>
      </c>
      <c r="C222" s="422" t="s">
        <v>302</v>
      </c>
    </row>
    <row r="223" spans="2:3" outlineLevel="1" x14ac:dyDescent="0.25">
      <c r="B223" s="135" t="s">
        <v>74</v>
      </c>
      <c r="C223" s="423"/>
    </row>
    <row r="224" spans="2:3" outlineLevel="1" x14ac:dyDescent="0.25">
      <c r="B224" s="135" t="s">
        <v>77</v>
      </c>
      <c r="C224" s="423"/>
    </row>
    <row r="225" spans="2:3" outlineLevel="1" x14ac:dyDescent="0.25">
      <c r="B225" s="131" t="s">
        <v>75</v>
      </c>
      <c r="C225" s="423"/>
    </row>
    <row r="226" spans="2:3" outlineLevel="1" x14ac:dyDescent="0.25">
      <c r="B226" s="269" t="s">
        <v>76</v>
      </c>
      <c r="C226" s="424"/>
    </row>
    <row r="227" spans="2:3" ht="14.45" customHeight="1" x14ac:dyDescent="0.25"/>
  </sheetData>
  <dataConsolidate/>
  <mergeCells count="129">
    <mergeCell ref="C222:C226"/>
    <mergeCell ref="C196:C219"/>
    <mergeCell ref="Y152:Z155"/>
    <mergeCell ref="AD152:AE155"/>
    <mergeCell ref="AI152:AJ155"/>
    <mergeCell ref="AN152:AO155"/>
    <mergeCell ref="C189:C192"/>
    <mergeCell ref="Y102:Z105"/>
    <mergeCell ref="AD102:AE105"/>
    <mergeCell ref="AI102:AJ105"/>
    <mergeCell ref="AN102:AO105"/>
    <mergeCell ref="Y123:Z126"/>
    <mergeCell ref="AD123:AE126"/>
    <mergeCell ref="AI123:AJ126"/>
    <mergeCell ref="AN123:AO126"/>
    <mergeCell ref="B194:C194"/>
    <mergeCell ref="B151:C151"/>
    <mergeCell ref="B103:C103"/>
    <mergeCell ref="B155:C155"/>
    <mergeCell ref="B186:C186"/>
    <mergeCell ref="B221:C221"/>
    <mergeCell ref="B110:C110"/>
    <mergeCell ref="B109:C109"/>
    <mergeCell ref="B127:C127"/>
    <mergeCell ref="Y44:Z47"/>
    <mergeCell ref="AD44:AE47"/>
    <mergeCell ref="AI44:AJ47"/>
    <mergeCell ref="AN44:AO47"/>
    <mergeCell ref="Y69:Z72"/>
    <mergeCell ref="AD69:AE72"/>
    <mergeCell ref="AI69:AJ72"/>
    <mergeCell ref="AN69:AO72"/>
    <mergeCell ref="Y20:Z23"/>
    <mergeCell ref="AD20:AE23"/>
    <mergeCell ref="AI20:AJ23"/>
    <mergeCell ref="AN20:AO23"/>
    <mergeCell ref="A11:A12"/>
    <mergeCell ref="B35:C35"/>
    <mergeCell ref="B41:C41"/>
    <mergeCell ref="B157:C157"/>
    <mergeCell ref="B156:C156"/>
    <mergeCell ref="B132:C132"/>
    <mergeCell ref="B106:C106"/>
    <mergeCell ref="B121:C121"/>
    <mergeCell ref="B118:C118"/>
    <mergeCell ref="B79:C79"/>
    <mergeCell ref="B78:C78"/>
    <mergeCell ref="B75:C75"/>
    <mergeCell ref="B82:C82"/>
    <mergeCell ref="B81:C81"/>
    <mergeCell ref="B152:C152"/>
    <mergeCell ref="B154:C154"/>
    <mergeCell ref="B120:C120"/>
    <mergeCell ref="B65:C65"/>
    <mergeCell ref="B64:C64"/>
    <mergeCell ref="B63:C63"/>
    <mergeCell ref="B34:C34"/>
    <mergeCell ref="B33:C33"/>
    <mergeCell ref="B51:C51"/>
    <mergeCell ref="B61:C61"/>
    <mergeCell ref="B2:C2"/>
    <mergeCell ref="B166:C166"/>
    <mergeCell ref="B164:C164"/>
    <mergeCell ref="B163:C163"/>
    <mergeCell ref="B183:C183"/>
    <mergeCell ref="B128:C128"/>
    <mergeCell ref="B181:C181"/>
    <mergeCell ref="B180:C180"/>
    <mergeCell ref="B179:C179"/>
    <mergeCell ref="B178:C178"/>
    <mergeCell ref="B173:C173"/>
    <mergeCell ref="B171:C171"/>
    <mergeCell ref="B177:C177"/>
    <mergeCell ref="B170:C170"/>
    <mergeCell ref="B167:C167"/>
    <mergeCell ref="B101:C101"/>
    <mergeCell ref="B102:C102"/>
    <mergeCell ref="B104:C104"/>
    <mergeCell ref="B111:C111"/>
    <mergeCell ref="B83:C83"/>
    <mergeCell ref="B84:C84"/>
    <mergeCell ref="B85:C85"/>
    <mergeCell ref="B107:C107"/>
    <mergeCell ref="B105:C105"/>
    <mergeCell ref="B3:C3"/>
    <mergeCell ref="B4:C4"/>
    <mergeCell ref="B5:C5"/>
    <mergeCell ref="B11:C11"/>
    <mergeCell ref="B12:C12"/>
    <mergeCell ref="B31:C31"/>
    <mergeCell ref="B30:C30"/>
    <mergeCell ref="B29:C29"/>
    <mergeCell ref="B28:C28"/>
    <mergeCell ref="B25:C25"/>
    <mergeCell ref="B13:C13"/>
    <mergeCell ref="B24:C24"/>
    <mergeCell ref="B23:C23"/>
    <mergeCell ref="C6:C9"/>
    <mergeCell ref="B67:C67"/>
    <mergeCell ref="B80:C80"/>
    <mergeCell ref="B74:C74"/>
    <mergeCell ref="B117:C117"/>
    <mergeCell ref="B115:C115"/>
    <mergeCell ref="B116:C116"/>
    <mergeCell ref="B113:C113"/>
    <mergeCell ref="B112:C112"/>
    <mergeCell ref="B76:C76"/>
    <mergeCell ref="B77:C77"/>
    <mergeCell ref="B97:C97"/>
    <mergeCell ref="B96:C96"/>
    <mergeCell ref="B68:C68"/>
    <mergeCell ref="B94:C94"/>
    <mergeCell ref="B93:C93"/>
    <mergeCell ref="B91:C91"/>
    <mergeCell ref="B124:C124"/>
    <mergeCell ref="B123:C123"/>
    <mergeCell ref="T102:U105"/>
    <mergeCell ref="T123:U126"/>
    <mergeCell ref="T152:U155"/>
    <mergeCell ref="B150:C150"/>
    <mergeCell ref="B149:C149"/>
    <mergeCell ref="B145:C145"/>
    <mergeCell ref="B143:C143"/>
    <mergeCell ref="B142:C142"/>
    <mergeCell ref="B141:C141"/>
    <mergeCell ref="B130:C130"/>
    <mergeCell ref="B126:C126"/>
    <mergeCell ref="B125:C125"/>
    <mergeCell ref="B108:C108"/>
  </mergeCells>
  <pageMargins left="0.7" right="0.7" top="0.75" bottom="0.75" header="0.3" footer="0.3"/>
  <pageSetup scale="43" orientation="landscape" r:id="rId1"/>
  <headerFooter>
    <oddFooter>&amp;CGutenberg Research LLC prohibits the redistribution of this document in whole or part without the written permission. 
© Gutenberg Research LLC 2018.</oddFooter>
  </headerFooter>
  <rowBreaks count="1" manualBreakCount="1">
    <brk id="8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41"/>
  <sheetViews>
    <sheetView showGridLines="0" zoomScaleNormal="100" workbookViewId="0">
      <selection activeCell="H19" sqref="H19"/>
    </sheetView>
  </sheetViews>
  <sheetFormatPr defaultColWidth="9.140625" defaultRowHeight="15" x14ac:dyDescent="0.25"/>
  <cols>
    <col min="1" max="1" width="1.140625" style="6" customWidth="1"/>
    <col min="2" max="2" width="22.7109375" style="6" customWidth="1"/>
    <col min="3" max="7" width="12.28515625" style="6" customWidth="1"/>
    <col min="8" max="10" width="12.28515625" style="209" customWidth="1"/>
    <col min="11" max="11" width="1.140625" style="209" customWidth="1"/>
    <col min="12" max="12" width="22.7109375" style="209" customWidth="1"/>
    <col min="13" max="17" width="12.28515625" style="209" customWidth="1"/>
    <col min="18" max="20" width="12.28515625" style="6" customWidth="1"/>
    <col min="21" max="16384" width="9.140625" style="6"/>
  </cols>
  <sheetData>
    <row r="1" spans="2:17" x14ac:dyDescent="0.25">
      <c r="B1" s="330" t="s">
        <v>272</v>
      </c>
    </row>
    <row r="2" spans="2:17" x14ac:dyDescent="0.25">
      <c r="B2" s="212"/>
    </row>
    <row r="3" spans="2:17" x14ac:dyDescent="0.25">
      <c r="B3" s="212"/>
    </row>
    <row r="4" spans="2:17" x14ac:dyDescent="0.25">
      <c r="B4" s="7"/>
      <c r="C4" s="8"/>
      <c r="D4" s="8"/>
      <c r="E4" s="8"/>
      <c r="F4" s="8"/>
      <c r="I4" s="210"/>
      <c r="L4" s="210"/>
    </row>
    <row r="5" spans="2:17" ht="12.6" customHeight="1" x14ac:dyDescent="0.25">
      <c r="B5" s="7"/>
      <c r="C5" s="8"/>
      <c r="D5" s="8"/>
      <c r="E5" s="8"/>
      <c r="F5" s="8"/>
    </row>
    <row r="6" spans="2:17" ht="21" customHeight="1" x14ac:dyDescent="0.25">
      <c r="C6" s="11"/>
      <c r="D6" s="12"/>
      <c r="E6" s="12"/>
      <c r="F6" s="12"/>
      <c r="H6" s="210"/>
    </row>
    <row r="7" spans="2:17" s="5" customFormat="1" ht="21" customHeight="1" x14ac:dyDescent="0.25">
      <c r="C7" s="12"/>
      <c r="D7" s="12"/>
      <c r="E7" s="12"/>
      <c r="F7" s="12"/>
      <c r="H7" s="432"/>
      <c r="I7" s="432"/>
      <c r="J7" s="432"/>
      <c r="K7" s="432"/>
      <c r="L7" s="432"/>
      <c r="M7" s="432"/>
      <c r="N7" s="432"/>
      <c r="O7" s="211"/>
      <c r="P7" s="211"/>
      <c r="Q7" s="211"/>
    </row>
    <row r="8" spans="2:17" ht="21" customHeight="1" x14ac:dyDescent="0.25">
      <c r="C8" s="8"/>
      <c r="D8" s="10"/>
      <c r="E8" s="10"/>
      <c r="F8" s="10"/>
      <c r="G8" s="9"/>
    </row>
    <row r="9" spans="2:17" ht="21" customHeight="1" x14ac:dyDescent="0.25">
      <c r="C9" s="8"/>
      <c r="D9" s="10"/>
      <c r="E9" s="10"/>
      <c r="F9" s="10"/>
      <c r="G9" s="9"/>
    </row>
    <row r="10" spans="2:17" ht="21" customHeight="1" x14ac:dyDescent="0.25">
      <c r="C10" s="8"/>
      <c r="D10" s="10"/>
      <c r="E10" s="10"/>
      <c r="F10" s="10"/>
      <c r="G10" s="9"/>
    </row>
    <row r="11" spans="2:17" ht="21" customHeight="1" x14ac:dyDescent="0.25">
      <c r="C11" s="8"/>
      <c r="D11" s="10"/>
      <c r="E11" s="10"/>
      <c r="F11" s="10"/>
      <c r="G11" s="9"/>
    </row>
    <row r="12" spans="2:17" ht="21" customHeight="1" x14ac:dyDescent="0.25">
      <c r="C12" s="8"/>
      <c r="D12" s="10"/>
      <c r="E12" s="10"/>
      <c r="F12" s="13"/>
      <c r="G12" s="9"/>
    </row>
    <row r="13" spans="2:17" ht="21" customHeight="1" x14ac:dyDescent="0.25">
      <c r="C13" s="8"/>
      <c r="D13" s="10"/>
      <c r="E13" s="14"/>
      <c r="F13" s="14"/>
      <c r="G13" s="9"/>
    </row>
    <row r="14" spans="2:17" ht="21" customHeight="1" x14ac:dyDescent="0.25">
      <c r="B14" s="212"/>
      <c r="C14" s="8"/>
      <c r="D14" s="10"/>
      <c r="E14" s="14"/>
      <c r="F14" s="14"/>
      <c r="G14" s="9"/>
    </row>
    <row r="15" spans="2:17" ht="21" customHeight="1" x14ac:dyDescent="0.25">
      <c r="C15" s="8"/>
      <c r="D15" s="10"/>
      <c r="E15" s="14"/>
      <c r="F15" s="14"/>
      <c r="G15" s="9"/>
    </row>
    <row r="16" spans="2:17" ht="21" customHeight="1" x14ac:dyDescent="0.25">
      <c r="D16" s="1"/>
      <c r="E16" s="2"/>
      <c r="F16" s="2"/>
      <c r="G16" s="9"/>
    </row>
    <row r="27" spans="2:2" x14ac:dyDescent="0.25">
      <c r="B27" s="212"/>
    </row>
    <row r="41" spans="2:2" x14ac:dyDescent="0.25">
      <c r="B41" s="212"/>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K20" sqref="K20"/>
    </sheetView>
  </sheetViews>
  <sheetFormatPr defaultRowHeight="15" x14ac:dyDescent="0.25"/>
  <cols>
    <col min="1" max="1" width="1.28515625" customWidth="1"/>
    <col min="2" max="2" width="12.28515625" customWidth="1"/>
    <col min="8" max="8" width="15.28515625" bestFit="1" customWidth="1"/>
    <col min="11" max="11" width="9.5703125" bestFit="1" customWidth="1"/>
  </cols>
  <sheetData>
    <row r="1" spans="2:11" x14ac:dyDescent="0.25">
      <c r="B1" s="6" t="s">
        <v>122</v>
      </c>
      <c r="C1" s="270"/>
    </row>
    <row r="2" spans="2:11" x14ac:dyDescent="0.25">
      <c r="B2" s="6" t="s">
        <v>105</v>
      </c>
    </row>
    <row r="3" spans="2:11" ht="45" x14ac:dyDescent="0.25">
      <c r="B3" s="213" t="s">
        <v>106</v>
      </c>
      <c r="C3" s="213" t="s">
        <v>107</v>
      </c>
      <c r="D3" s="213" t="s">
        <v>108</v>
      </c>
      <c r="E3" s="213" t="s">
        <v>109</v>
      </c>
      <c r="F3" s="213" t="s">
        <v>110</v>
      </c>
      <c r="G3" s="213" t="s">
        <v>121</v>
      </c>
      <c r="H3" s="213" t="s">
        <v>111</v>
      </c>
      <c r="I3" s="213" t="s">
        <v>112</v>
      </c>
      <c r="J3" s="213" t="s">
        <v>113</v>
      </c>
      <c r="K3" s="213" t="s">
        <v>114</v>
      </c>
    </row>
    <row r="4" spans="2:11" s="6" customFormat="1" x14ac:dyDescent="0.25">
      <c r="B4" s="271">
        <v>43132</v>
      </c>
      <c r="C4" s="222">
        <v>188.220001</v>
      </c>
      <c r="D4" s="222">
        <v>195.320007</v>
      </c>
      <c r="E4" s="222">
        <v>167.179993</v>
      </c>
      <c r="F4" s="222">
        <v>178.320007</v>
      </c>
      <c r="G4" s="222">
        <v>178.320007</v>
      </c>
      <c r="H4" s="323">
        <v>516251600</v>
      </c>
      <c r="I4" s="324"/>
      <c r="J4" s="325"/>
      <c r="K4" s="223"/>
    </row>
    <row r="5" spans="2:11" x14ac:dyDescent="0.25">
      <c r="B5" s="217">
        <v>43160</v>
      </c>
      <c r="C5" s="204">
        <v>179.009995</v>
      </c>
      <c r="D5" s="204">
        <v>186.10000600000001</v>
      </c>
      <c r="E5" s="204">
        <v>149.020004</v>
      </c>
      <c r="F5" s="204">
        <v>159.78999300000001</v>
      </c>
      <c r="G5" s="204">
        <v>159.78999300000001</v>
      </c>
      <c r="H5" s="326">
        <v>995523100</v>
      </c>
      <c r="I5" s="218">
        <f>+G5/G4-1</f>
        <v>-0.10391438578173673</v>
      </c>
      <c r="J5" s="219">
        <f t="shared" ref="J5:J16" si="0">I5-$I$17</f>
        <v>-0.10391393982728987</v>
      </c>
      <c r="K5" s="231">
        <f>J5^2</f>
        <v>1.0798106890429621E-2</v>
      </c>
    </row>
    <row r="6" spans="2:11" x14ac:dyDescent="0.25">
      <c r="B6" s="217">
        <v>43191</v>
      </c>
      <c r="C6" s="204">
        <v>157.80999800000001</v>
      </c>
      <c r="D6" s="204">
        <v>177.10000600000001</v>
      </c>
      <c r="E6" s="204">
        <v>150.509995</v>
      </c>
      <c r="F6" s="204">
        <v>172</v>
      </c>
      <c r="G6" s="204">
        <v>172</v>
      </c>
      <c r="H6" s="326">
        <v>749046400</v>
      </c>
      <c r="I6" s="218">
        <f>+G6/G5-1</f>
        <v>7.6412838944175832E-2</v>
      </c>
      <c r="J6" s="219">
        <f t="shared" si="0"/>
        <v>7.6413284898622688E-2</v>
      </c>
      <c r="K6" s="231">
        <f>J6^2</f>
        <v>5.8389901089980784E-3</v>
      </c>
    </row>
    <row r="7" spans="2:11" x14ac:dyDescent="0.25">
      <c r="B7" s="217">
        <v>43221</v>
      </c>
      <c r="C7" s="204">
        <v>172</v>
      </c>
      <c r="D7" s="204">
        <v>192.720001</v>
      </c>
      <c r="E7" s="204">
        <v>170.229996</v>
      </c>
      <c r="F7" s="204">
        <v>191.779999</v>
      </c>
      <c r="G7" s="204">
        <v>191.779999</v>
      </c>
      <c r="H7" s="326">
        <v>401144100</v>
      </c>
      <c r="I7" s="218">
        <f t="shared" ref="I7:I16" si="1">+G7/G6-1</f>
        <v>0.11499999418604645</v>
      </c>
      <c r="J7" s="219">
        <f t="shared" si="0"/>
        <v>0.11500044014049331</v>
      </c>
      <c r="K7" s="231">
        <f t="shared" ref="K7:K15" si="2">J7^2</f>
        <v>1.3225101232507185E-2</v>
      </c>
    </row>
    <row r="8" spans="2:11" x14ac:dyDescent="0.25">
      <c r="B8" s="217">
        <v>43252</v>
      </c>
      <c r="C8" s="204">
        <v>193.070007</v>
      </c>
      <c r="D8" s="204">
        <v>203.550003</v>
      </c>
      <c r="E8" s="204">
        <v>186.429993</v>
      </c>
      <c r="F8" s="204">
        <v>194.320007</v>
      </c>
      <c r="G8" s="204">
        <v>194.320007</v>
      </c>
      <c r="H8" s="326">
        <v>387265600</v>
      </c>
      <c r="I8" s="218">
        <f t="shared" si="1"/>
        <v>1.3244384259278208E-2</v>
      </c>
      <c r="J8" s="219">
        <f t="shared" si="0"/>
        <v>1.324483021372507E-2</v>
      </c>
      <c r="K8" s="231">
        <f t="shared" si="2"/>
        <v>1.7542552739040448E-4</v>
      </c>
    </row>
    <row r="9" spans="2:11" x14ac:dyDescent="0.25">
      <c r="B9" s="217">
        <v>43282</v>
      </c>
      <c r="C9" s="204">
        <v>193.36999499999999</v>
      </c>
      <c r="D9" s="204">
        <v>218.61999499999999</v>
      </c>
      <c r="E9" s="204">
        <v>166.55999800000001</v>
      </c>
      <c r="F9" s="204">
        <v>172.58000200000001</v>
      </c>
      <c r="G9" s="204">
        <v>172.58000200000001</v>
      </c>
      <c r="H9" s="326">
        <v>647030700</v>
      </c>
      <c r="I9" s="218">
        <f t="shared" si="1"/>
        <v>-0.11187733746839557</v>
      </c>
      <c r="J9" s="219">
        <f t="shared" si="0"/>
        <v>-0.11187689151394871</v>
      </c>
      <c r="K9" s="231">
        <f t="shared" si="2"/>
        <v>1.2516438854823848E-2</v>
      </c>
    </row>
    <row r="10" spans="2:11" x14ac:dyDescent="0.25">
      <c r="B10" s="217">
        <v>43313</v>
      </c>
      <c r="C10" s="204">
        <v>173.929993</v>
      </c>
      <c r="D10" s="204">
        <v>188.300003</v>
      </c>
      <c r="E10" s="204">
        <v>170.270004</v>
      </c>
      <c r="F10" s="204">
        <v>175.729996</v>
      </c>
      <c r="G10" s="204">
        <v>175.729996</v>
      </c>
      <c r="H10" s="326">
        <v>548743400</v>
      </c>
      <c r="I10" s="218">
        <f t="shared" si="1"/>
        <v>1.8252369703877891E-2</v>
      </c>
      <c r="J10" s="219">
        <f t="shared" si="0"/>
        <v>1.8252815658324751E-2</v>
      </c>
      <c r="K10" s="231">
        <f t="shared" si="2"/>
        <v>3.331652794567852E-4</v>
      </c>
    </row>
    <row r="11" spans="2:11" x14ac:dyDescent="0.25">
      <c r="B11" s="217">
        <v>43344</v>
      </c>
      <c r="C11" s="204">
        <v>173.5</v>
      </c>
      <c r="D11" s="204">
        <v>173.88999899999999</v>
      </c>
      <c r="E11" s="204">
        <v>158.86999499999999</v>
      </c>
      <c r="F11" s="204">
        <v>164.46000699999999</v>
      </c>
      <c r="G11" s="204">
        <v>164.46000699999999</v>
      </c>
      <c r="H11" s="326">
        <v>500357000</v>
      </c>
      <c r="I11" s="218">
        <f t="shared" si="1"/>
        <v>-6.4132414821201134E-2</v>
      </c>
      <c r="J11" s="219">
        <f t="shared" si="0"/>
        <v>-6.4131968866754277E-2</v>
      </c>
      <c r="K11" s="231">
        <f t="shared" si="2"/>
        <v>4.1129094307263397E-3</v>
      </c>
    </row>
    <row r="12" spans="2:11" x14ac:dyDescent="0.25">
      <c r="B12" s="217">
        <v>43374</v>
      </c>
      <c r="C12" s="204">
        <v>163.029999</v>
      </c>
      <c r="D12" s="204">
        <v>165.88000500000001</v>
      </c>
      <c r="E12" s="204">
        <v>139.029999</v>
      </c>
      <c r="F12" s="204">
        <v>151.78999300000001</v>
      </c>
      <c r="G12" s="204">
        <v>151.78999300000001</v>
      </c>
      <c r="H12" s="326">
        <v>622446300</v>
      </c>
      <c r="I12" s="218">
        <f t="shared" si="1"/>
        <v>-7.7040091576792813E-2</v>
      </c>
      <c r="J12" s="219">
        <f t="shared" si="0"/>
        <v>-7.7039645622345956E-2</v>
      </c>
      <c r="K12" s="231">
        <f t="shared" si="2"/>
        <v>5.9351069976166489E-3</v>
      </c>
    </row>
    <row r="13" spans="2:11" x14ac:dyDescent="0.25">
      <c r="B13" s="217">
        <v>43405</v>
      </c>
      <c r="C13" s="204">
        <v>151.520004</v>
      </c>
      <c r="D13" s="204">
        <v>154.13000500000001</v>
      </c>
      <c r="E13" s="204">
        <v>126.849998</v>
      </c>
      <c r="F13" s="204">
        <v>140.61000100000001</v>
      </c>
      <c r="G13" s="204">
        <v>140.61000100000001</v>
      </c>
      <c r="H13" s="326">
        <v>518151700</v>
      </c>
      <c r="I13" s="218">
        <f t="shared" si="1"/>
        <v>-7.3654341627118924E-2</v>
      </c>
      <c r="J13" s="219">
        <f t="shared" si="0"/>
        <v>-7.3653895672672068E-2</v>
      </c>
      <c r="K13" s="231">
        <f t="shared" si="2"/>
        <v>5.4248963477608611E-3</v>
      </c>
    </row>
    <row r="14" spans="2:11" x14ac:dyDescent="0.25">
      <c r="B14" s="217">
        <v>43435</v>
      </c>
      <c r="C14" s="204">
        <v>143</v>
      </c>
      <c r="D14" s="204">
        <v>147.19000199999999</v>
      </c>
      <c r="E14" s="204">
        <v>123.019997</v>
      </c>
      <c r="F14" s="204">
        <v>131.08999600000001</v>
      </c>
      <c r="G14" s="204">
        <v>131.08999600000001</v>
      </c>
      <c r="H14" s="326">
        <v>558786200</v>
      </c>
      <c r="I14" s="218">
        <f t="shared" si="1"/>
        <v>-6.7705034722245649E-2</v>
      </c>
      <c r="J14" s="219">
        <f t="shared" si="0"/>
        <v>-6.7704588767798793E-2</v>
      </c>
      <c r="K14" s="231">
        <f t="shared" si="2"/>
        <v>4.5839113402167467E-3</v>
      </c>
    </row>
    <row r="15" spans="2:11" x14ac:dyDescent="0.25">
      <c r="B15" s="217">
        <v>43466</v>
      </c>
      <c r="C15" s="204">
        <v>128.990005</v>
      </c>
      <c r="D15" s="204">
        <v>171.679993</v>
      </c>
      <c r="E15" s="204">
        <v>128.55999800000001</v>
      </c>
      <c r="F15" s="204">
        <v>166.69000199999999</v>
      </c>
      <c r="G15" s="204">
        <v>166.69000199999999</v>
      </c>
      <c r="H15" s="326">
        <v>527547900</v>
      </c>
      <c r="I15" s="218">
        <f t="shared" si="1"/>
        <v>0.27156920502156368</v>
      </c>
      <c r="J15" s="219">
        <f t="shared" si="0"/>
        <v>0.27156965097601055</v>
      </c>
      <c r="K15" s="231">
        <f t="shared" si="2"/>
        <v>7.3750075331232179E-2</v>
      </c>
    </row>
    <row r="16" spans="2:11" x14ac:dyDescent="0.25">
      <c r="B16" s="220">
        <v>43497</v>
      </c>
      <c r="C16" s="216">
        <v>165.83999600000001</v>
      </c>
      <c r="D16" s="216">
        <v>172.470001</v>
      </c>
      <c r="E16" s="216">
        <v>163.61999499999999</v>
      </c>
      <c r="F16" s="216">
        <v>167.33000200000001</v>
      </c>
      <c r="G16" s="216">
        <v>167.33000200000001</v>
      </c>
      <c r="H16" s="327">
        <v>116688200</v>
      </c>
      <c r="I16" s="328">
        <f t="shared" si="1"/>
        <v>3.8394624291864243E-3</v>
      </c>
      <c r="J16" s="221">
        <f t="shared" si="0"/>
        <v>3.8399083836332857E-3</v>
      </c>
      <c r="K16" s="232">
        <f>J16^2</f>
        <v>1.4744896394697193E-5</v>
      </c>
    </row>
    <row r="17" spans="7:11" x14ac:dyDescent="0.25">
      <c r="G17" s="214"/>
      <c r="H17" s="227" t="s">
        <v>115</v>
      </c>
      <c r="I17" s="322">
        <f>AVERAGE(I5:I16)</f>
        <v>-4.4595444686120384E-7</v>
      </c>
      <c r="J17" s="204"/>
      <c r="K17" s="215"/>
    </row>
    <row r="18" spans="7:11" x14ac:dyDescent="0.25">
      <c r="G18" s="214"/>
      <c r="H18" s="204"/>
      <c r="I18" s="204"/>
      <c r="J18" s="224" t="s">
        <v>116</v>
      </c>
      <c r="K18" s="242">
        <f>SUM(K5:K16)</f>
        <v>0.1367088722375534</v>
      </c>
    </row>
    <row r="19" spans="7:11" x14ac:dyDescent="0.25">
      <c r="G19" s="214"/>
      <c r="H19" s="204"/>
      <c r="I19" s="204"/>
      <c r="J19" s="224" t="s">
        <v>117</v>
      </c>
      <c r="K19" s="225">
        <f>K18/12</f>
        <v>1.1392406019796117E-2</v>
      </c>
    </row>
    <row r="20" spans="7:11" x14ac:dyDescent="0.25">
      <c r="G20" s="214"/>
      <c r="H20" s="204"/>
      <c r="I20" s="226"/>
      <c r="J20" s="227" t="s">
        <v>118</v>
      </c>
      <c r="K20" s="228">
        <f>SQRT(K19)</f>
        <v>0.1067352145254607</v>
      </c>
    </row>
    <row r="21" spans="7:11" x14ac:dyDescent="0.25">
      <c r="G21" s="214"/>
      <c r="H21" s="204"/>
      <c r="I21" s="204"/>
      <c r="J21" s="230" t="s">
        <v>119</v>
      </c>
      <c r="K21" s="229">
        <f>_xlfn.STDEV.P(I5:I16)-K20</f>
        <v>0</v>
      </c>
    </row>
    <row r="22" spans="7:11" x14ac:dyDescent="0.25">
      <c r="G22" s="252"/>
      <c r="H22" s="253"/>
      <c r="I22" s="253"/>
      <c r="J22" s="254" t="s">
        <v>120</v>
      </c>
      <c r="K22" s="255">
        <f>ABS(I17)</f>
        <v>4.4595444686120384E-7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FCDB4-59D4-4E15-97AC-515F75872FEC}">
  <dimension ref="A1:B817"/>
  <sheetViews>
    <sheetView topLeftCell="A712" workbookViewId="0">
      <selection activeCell="W36" sqref="W36"/>
    </sheetView>
  </sheetViews>
  <sheetFormatPr defaultRowHeight="15" x14ac:dyDescent="0.25"/>
  <cols>
    <col min="1" max="1" width="14.7109375" customWidth="1"/>
  </cols>
  <sheetData>
    <row r="1" spans="1:2" x14ac:dyDescent="0.25">
      <c r="A1" s="311" t="s">
        <v>263</v>
      </c>
    </row>
    <row r="2" spans="1:2" x14ac:dyDescent="0.25">
      <c r="A2" s="307" t="s">
        <v>253</v>
      </c>
      <c r="B2" s="307"/>
    </row>
    <row r="3" spans="1:2" x14ac:dyDescent="0.25">
      <c r="A3" s="307" t="s">
        <v>254</v>
      </c>
      <c r="B3" s="307"/>
    </row>
    <row r="4" spans="1:2" x14ac:dyDescent="0.25">
      <c r="A4" s="307" t="s">
        <v>255</v>
      </c>
      <c r="B4" s="307"/>
    </row>
    <row r="5" spans="1:2" x14ac:dyDescent="0.25">
      <c r="A5" s="307" t="s">
        <v>256</v>
      </c>
      <c r="B5" s="307"/>
    </row>
    <row r="6" spans="1:2" x14ac:dyDescent="0.25">
      <c r="A6" s="307" t="s">
        <v>257</v>
      </c>
      <c r="B6" s="307"/>
    </row>
    <row r="7" spans="1:2" x14ac:dyDescent="0.25">
      <c r="A7" s="307" t="s">
        <v>258</v>
      </c>
      <c r="B7" s="307"/>
    </row>
    <row r="9" spans="1:2" x14ac:dyDescent="0.25">
      <c r="A9" s="307" t="s">
        <v>259</v>
      </c>
      <c r="B9" s="307" t="s">
        <v>260</v>
      </c>
    </row>
    <row r="11" spans="1:2" x14ac:dyDescent="0.25">
      <c r="A11" s="307" t="s">
        <v>261</v>
      </c>
      <c r="B11" s="307"/>
    </row>
    <row r="12" spans="1:2" x14ac:dyDescent="0.25">
      <c r="A12" s="307" t="s">
        <v>262</v>
      </c>
      <c r="B12" s="307" t="s">
        <v>259</v>
      </c>
    </row>
    <row r="13" spans="1:2" x14ac:dyDescent="0.25">
      <c r="A13" s="308">
        <v>42373</v>
      </c>
      <c r="B13" s="310">
        <v>1.0803</v>
      </c>
    </row>
    <row r="14" spans="1:2" x14ac:dyDescent="0.25">
      <c r="A14" s="308">
        <v>42374</v>
      </c>
      <c r="B14" s="310">
        <v>1.0743</v>
      </c>
    </row>
    <row r="15" spans="1:2" x14ac:dyDescent="0.25">
      <c r="A15" s="308">
        <v>42375</v>
      </c>
      <c r="B15" s="310">
        <v>1.0762</v>
      </c>
    </row>
    <row r="16" spans="1:2" x14ac:dyDescent="0.25">
      <c r="A16" s="308">
        <v>42376</v>
      </c>
      <c r="B16" s="310">
        <v>1.0860000000000001</v>
      </c>
    </row>
    <row r="17" spans="1:2" x14ac:dyDescent="0.25">
      <c r="A17" s="308">
        <v>42377</v>
      </c>
      <c r="B17" s="310">
        <v>1.0885</v>
      </c>
    </row>
    <row r="18" spans="1:2" x14ac:dyDescent="0.25">
      <c r="A18" s="308">
        <v>42380</v>
      </c>
      <c r="B18" s="310">
        <v>1.0878000000000001</v>
      </c>
    </row>
    <row r="19" spans="1:2" x14ac:dyDescent="0.25">
      <c r="A19" s="308">
        <v>42381</v>
      </c>
      <c r="B19" s="310">
        <v>1.0837000000000001</v>
      </c>
    </row>
    <row r="20" spans="1:2" x14ac:dyDescent="0.25">
      <c r="A20" s="308">
        <v>42382</v>
      </c>
      <c r="B20" s="310">
        <v>1.0862000000000001</v>
      </c>
    </row>
    <row r="21" spans="1:2" x14ac:dyDescent="0.25">
      <c r="A21" s="308">
        <v>42383</v>
      </c>
      <c r="B21" s="310">
        <v>1.0862000000000001</v>
      </c>
    </row>
    <row r="22" spans="1:2" x14ac:dyDescent="0.25">
      <c r="A22" s="308">
        <v>42384</v>
      </c>
      <c r="B22" s="310">
        <v>1.0964</v>
      </c>
    </row>
    <row r="23" spans="1:2" x14ac:dyDescent="0.25">
      <c r="A23" s="308">
        <v>42387</v>
      </c>
      <c r="B23" s="309">
        <v>0</v>
      </c>
    </row>
    <row r="24" spans="1:2" x14ac:dyDescent="0.25">
      <c r="A24" s="308">
        <v>42388</v>
      </c>
      <c r="B24" s="310">
        <v>1.0906</v>
      </c>
    </row>
    <row r="25" spans="1:2" x14ac:dyDescent="0.25">
      <c r="A25" s="308">
        <v>42389</v>
      </c>
      <c r="B25" s="310">
        <v>1.0908</v>
      </c>
    </row>
    <row r="26" spans="1:2" x14ac:dyDescent="0.25">
      <c r="A26" s="308">
        <v>42390</v>
      </c>
      <c r="B26" s="310">
        <v>1.0832999999999999</v>
      </c>
    </row>
    <row r="27" spans="1:2" x14ac:dyDescent="0.25">
      <c r="A27" s="308">
        <v>42391</v>
      </c>
      <c r="B27" s="310">
        <v>1.0813999999999999</v>
      </c>
    </row>
    <row r="28" spans="1:2" x14ac:dyDescent="0.25">
      <c r="A28" s="308">
        <v>42394</v>
      </c>
      <c r="B28" s="310">
        <v>1.0831999999999999</v>
      </c>
    </row>
    <row r="29" spans="1:2" x14ac:dyDescent="0.25">
      <c r="A29" s="308">
        <v>42395</v>
      </c>
      <c r="B29" s="310">
        <v>1.0846</v>
      </c>
    </row>
    <row r="30" spans="1:2" x14ac:dyDescent="0.25">
      <c r="A30" s="308">
        <v>42396</v>
      </c>
      <c r="B30" s="310">
        <v>1.0867</v>
      </c>
    </row>
    <row r="31" spans="1:2" x14ac:dyDescent="0.25">
      <c r="A31" s="308">
        <v>42397</v>
      </c>
      <c r="B31" s="310">
        <v>1.0952</v>
      </c>
    </row>
    <row r="32" spans="1:2" x14ac:dyDescent="0.25">
      <c r="A32" s="308">
        <v>42398</v>
      </c>
      <c r="B32" s="310">
        <v>1.0831999999999999</v>
      </c>
    </row>
    <row r="33" spans="1:2" x14ac:dyDescent="0.25">
      <c r="A33" s="308">
        <v>42401</v>
      </c>
      <c r="B33" s="310">
        <v>1.0888</v>
      </c>
    </row>
    <row r="34" spans="1:2" x14ac:dyDescent="0.25">
      <c r="A34" s="308">
        <v>42402</v>
      </c>
      <c r="B34" s="310">
        <v>1.0908</v>
      </c>
    </row>
    <row r="35" spans="1:2" x14ac:dyDescent="0.25">
      <c r="A35" s="308">
        <v>42403</v>
      </c>
      <c r="B35" s="310">
        <v>1.1051</v>
      </c>
    </row>
    <row r="36" spans="1:2" x14ac:dyDescent="0.25">
      <c r="A36" s="308">
        <v>42404</v>
      </c>
      <c r="B36" s="310">
        <v>1.1198999999999999</v>
      </c>
    </row>
    <row r="37" spans="1:2" x14ac:dyDescent="0.25">
      <c r="A37" s="308">
        <v>42405</v>
      </c>
      <c r="B37" s="310">
        <v>1.1131</v>
      </c>
    </row>
    <row r="38" spans="1:2" x14ac:dyDescent="0.25">
      <c r="A38" s="308">
        <v>42408</v>
      </c>
      <c r="B38" s="310">
        <v>1.117</v>
      </c>
    </row>
    <row r="39" spans="1:2" x14ac:dyDescent="0.25">
      <c r="A39" s="308">
        <v>42409</v>
      </c>
      <c r="B39" s="310">
        <v>1.1299999999999999</v>
      </c>
    </row>
    <row r="40" spans="1:2" x14ac:dyDescent="0.25">
      <c r="A40" s="308">
        <v>42410</v>
      </c>
      <c r="B40" s="310">
        <v>1.1222000000000001</v>
      </c>
    </row>
    <row r="41" spans="1:2" x14ac:dyDescent="0.25">
      <c r="A41" s="308">
        <v>42411</v>
      </c>
      <c r="B41" s="310">
        <v>1.1362000000000001</v>
      </c>
    </row>
    <row r="42" spans="1:2" x14ac:dyDescent="0.25">
      <c r="A42" s="308">
        <v>42412</v>
      </c>
      <c r="B42" s="310">
        <v>1.1234999999999999</v>
      </c>
    </row>
    <row r="43" spans="1:2" x14ac:dyDescent="0.25">
      <c r="A43" s="308">
        <v>42415</v>
      </c>
      <c r="B43" s="309">
        <v>0</v>
      </c>
    </row>
    <row r="44" spans="1:2" x14ac:dyDescent="0.25">
      <c r="A44" s="308">
        <v>42416</v>
      </c>
      <c r="B44" s="310">
        <v>1.1140000000000001</v>
      </c>
    </row>
    <row r="45" spans="1:2" x14ac:dyDescent="0.25">
      <c r="A45" s="308">
        <v>42417</v>
      </c>
      <c r="B45" s="310">
        <v>1.1140000000000001</v>
      </c>
    </row>
    <row r="46" spans="1:2" x14ac:dyDescent="0.25">
      <c r="A46" s="308">
        <v>42418</v>
      </c>
      <c r="B46" s="310">
        <v>1.1092</v>
      </c>
    </row>
    <row r="47" spans="1:2" x14ac:dyDescent="0.25">
      <c r="A47" s="308">
        <v>42419</v>
      </c>
      <c r="B47" s="310">
        <v>1.1127</v>
      </c>
    </row>
    <row r="48" spans="1:2" x14ac:dyDescent="0.25">
      <c r="A48" s="308">
        <v>42422</v>
      </c>
      <c r="B48" s="310">
        <v>1.1017999999999999</v>
      </c>
    </row>
    <row r="49" spans="1:2" x14ac:dyDescent="0.25">
      <c r="A49" s="308">
        <v>42423</v>
      </c>
      <c r="B49" s="310">
        <v>1.1015999999999999</v>
      </c>
    </row>
    <row r="50" spans="1:2" x14ac:dyDescent="0.25">
      <c r="A50" s="308">
        <v>42424</v>
      </c>
      <c r="B50" s="310">
        <v>1.1021000000000001</v>
      </c>
    </row>
    <row r="51" spans="1:2" x14ac:dyDescent="0.25">
      <c r="A51" s="308">
        <v>42425</v>
      </c>
      <c r="B51" s="310">
        <v>1.1026</v>
      </c>
    </row>
    <row r="52" spans="1:2" x14ac:dyDescent="0.25">
      <c r="A52" s="308">
        <v>42426</v>
      </c>
      <c r="B52" s="310">
        <v>1.0931999999999999</v>
      </c>
    </row>
    <row r="53" spans="1:2" x14ac:dyDescent="0.25">
      <c r="A53" s="308">
        <v>42429</v>
      </c>
      <c r="B53" s="310">
        <v>1.0868</v>
      </c>
    </row>
    <row r="54" spans="1:2" x14ac:dyDescent="0.25">
      <c r="A54" s="308">
        <v>42430</v>
      </c>
      <c r="B54" s="310">
        <v>1.0847</v>
      </c>
    </row>
    <row r="55" spans="1:2" x14ac:dyDescent="0.25">
      <c r="A55" s="308">
        <v>42431</v>
      </c>
      <c r="B55" s="310">
        <v>1.0845</v>
      </c>
    </row>
    <row r="56" spans="1:2" x14ac:dyDescent="0.25">
      <c r="A56" s="308">
        <v>42432</v>
      </c>
      <c r="B56" s="310">
        <v>1.0948</v>
      </c>
    </row>
    <row r="57" spans="1:2" x14ac:dyDescent="0.25">
      <c r="A57" s="308">
        <v>42433</v>
      </c>
      <c r="B57" s="310">
        <v>1.101</v>
      </c>
    </row>
    <row r="58" spans="1:2" x14ac:dyDescent="0.25">
      <c r="A58" s="308">
        <v>42436</v>
      </c>
      <c r="B58" s="310">
        <v>1.1004</v>
      </c>
    </row>
    <row r="59" spans="1:2" x14ac:dyDescent="0.25">
      <c r="A59" s="308">
        <v>42437</v>
      </c>
      <c r="B59" s="310">
        <v>1.1028</v>
      </c>
    </row>
    <row r="60" spans="1:2" x14ac:dyDescent="0.25">
      <c r="A60" s="308">
        <v>42438</v>
      </c>
      <c r="B60" s="310">
        <v>1.1022000000000001</v>
      </c>
    </row>
    <row r="61" spans="1:2" x14ac:dyDescent="0.25">
      <c r="A61" s="308">
        <v>42439</v>
      </c>
      <c r="B61" s="310">
        <v>1.1162000000000001</v>
      </c>
    </row>
    <row r="62" spans="1:2" x14ac:dyDescent="0.25">
      <c r="A62" s="308">
        <v>42440</v>
      </c>
      <c r="B62" s="310">
        <v>1.1180000000000001</v>
      </c>
    </row>
    <row r="63" spans="1:2" x14ac:dyDescent="0.25">
      <c r="A63" s="308">
        <v>42443</v>
      </c>
      <c r="B63" s="310">
        <v>1.1107</v>
      </c>
    </row>
    <row r="64" spans="1:2" x14ac:dyDescent="0.25">
      <c r="A64" s="308">
        <v>42444</v>
      </c>
      <c r="B64" s="310">
        <v>1.1112</v>
      </c>
    </row>
    <row r="65" spans="1:2" x14ac:dyDescent="0.25">
      <c r="A65" s="308">
        <v>42445</v>
      </c>
      <c r="B65" s="310">
        <v>1.1074999999999999</v>
      </c>
    </row>
    <row r="66" spans="1:2" x14ac:dyDescent="0.25">
      <c r="A66" s="308">
        <v>42446</v>
      </c>
      <c r="B66" s="310">
        <v>1.1315999999999999</v>
      </c>
    </row>
    <row r="67" spans="1:2" x14ac:dyDescent="0.25">
      <c r="A67" s="308">
        <v>42447</v>
      </c>
      <c r="B67" s="310">
        <v>1.1292</v>
      </c>
    </row>
    <row r="68" spans="1:2" x14ac:dyDescent="0.25">
      <c r="A68" s="308">
        <v>42450</v>
      </c>
      <c r="B68" s="310">
        <v>1.1259999999999999</v>
      </c>
    </row>
    <row r="69" spans="1:2" x14ac:dyDescent="0.25">
      <c r="A69" s="308">
        <v>42451</v>
      </c>
      <c r="B69" s="310">
        <v>1.1228</v>
      </c>
    </row>
    <row r="70" spans="1:2" x14ac:dyDescent="0.25">
      <c r="A70" s="308">
        <v>42452</v>
      </c>
      <c r="B70" s="310">
        <v>1.1173999999999999</v>
      </c>
    </row>
    <row r="71" spans="1:2" x14ac:dyDescent="0.25">
      <c r="A71" s="308">
        <v>42453</v>
      </c>
      <c r="B71" s="310">
        <v>1.1163000000000001</v>
      </c>
    </row>
    <row r="72" spans="1:2" x14ac:dyDescent="0.25">
      <c r="A72" s="308">
        <v>42454</v>
      </c>
      <c r="B72" s="310">
        <v>1.1164000000000001</v>
      </c>
    </row>
    <row r="73" spans="1:2" x14ac:dyDescent="0.25">
      <c r="A73" s="308">
        <v>42457</v>
      </c>
      <c r="B73" s="310">
        <v>1.121</v>
      </c>
    </row>
    <row r="74" spans="1:2" x14ac:dyDescent="0.25">
      <c r="A74" s="308">
        <v>42458</v>
      </c>
      <c r="B74" s="310">
        <v>1.1204000000000001</v>
      </c>
    </row>
    <row r="75" spans="1:2" x14ac:dyDescent="0.25">
      <c r="A75" s="308">
        <v>42459</v>
      </c>
      <c r="B75" s="310">
        <v>1.133</v>
      </c>
    </row>
    <row r="76" spans="1:2" x14ac:dyDescent="0.25">
      <c r="A76" s="308">
        <v>42460</v>
      </c>
      <c r="B76" s="310">
        <v>1.139</v>
      </c>
    </row>
    <row r="77" spans="1:2" x14ac:dyDescent="0.25">
      <c r="A77" s="308">
        <v>42461</v>
      </c>
      <c r="B77" s="310">
        <v>1.1385000000000001</v>
      </c>
    </row>
    <row r="78" spans="1:2" x14ac:dyDescent="0.25">
      <c r="A78" s="308">
        <v>42464</v>
      </c>
      <c r="B78" s="310">
        <v>1.1386000000000001</v>
      </c>
    </row>
    <row r="79" spans="1:2" x14ac:dyDescent="0.25">
      <c r="A79" s="308">
        <v>42465</v>
      </c>
      <c r="B79" s="310">
        <v>1.1374</v>
      </c>
    </row>
    <row r="80" spans="1:2" x14ac:dyDescent="0.25">
      <c r="A80" s="308">
        <v>42466</v>
      </c>
      <c r="B80" s="310">
        <v>1.143</v>
      </c>
    </row>
    <row r="81" spans="1:2" x14ac:dyDescent="0.25">
      <c r="A81" s="308">
        <v>42467</v>
      </c>
      <c r="B81" s="310">
        <v>1.1386000000000001</v>
      </c>
    </row>
    <row r="82" spans="1:2" x14ac:dyDescent="0.25">
      <c r="A82" s="308">
        <v>42468</v>
      </c>
      <c r="B82" s="310">
        <v>1.1406000000000001</v>
      </c>
    </row>
    <row r="83" spans="1:2" x14ac:dyDescent="0.25">
      <c r="A83" s="308">
        <v>42471</v>
      </c>
      <c r="B83" s="310">
        <v>1.1412</v>
      </c>
    </row>
    <row r="84" spans="1:2" x14ac:dyDescent="0.25">
      <c r="A84" s="308">
        <v>42472</v>
      </c>
      <c r="B84" s="310">
        <v>1.1395</v>
      </c>
    </row>
    <row r="85" spans="1:2" x14ac:dyDescent="0.25">
      <c r="A85" s="308">
        <v>42473</v>
      </c>
      <c r="B85" s="310">
        <v>1.1281000000000001</v>
      </c>
    </row>
    <row r="86" spans="1:2" x14ac:dyDescent="0.25">
      <c r="A86" s="308">
        <v>42474</v>
      </c>
      <c r="B86" s="310">
        <v>1.1262000000000001</v>
      </c>
    </row>
    <row r="87" spans="1:2" x14ac:dyDescent="0.25">
      <c r="A87" s="308">
        <v>42475</v>
      </c>
      <c r="B87" s="310">
        <v>1.1294999999999999</v>
      </c>
    </row>
    <row r="88" spans="1:2" x14ac:dyDescent="0.25">
      <c r="A88" s="308">
        <v>42478</v>
      </c>
      <c r="B88" s="310">
        <v>1.1322000000000001</v>
      </c>
    </row>
    <row r="89" spans="1:2" x14ac:dyDescent="0.25">
      <c r="A89" s="308">
        <v>42479</v>
      </c>
      <c r="B89" s="310">
        <v>1.1375</v>
      </c>
    </row>
    <row r="90" spans="1:2" x14ac:dyDescent="0.25">
      <c r="A90" s="308">
        <v>42480</v>
      </c>
      <c r="B90" s="310">
        <v>1.133</v>
      </c>
    </row>
    <row r="91" spans="1:2" x14ac:dyDescent="0.25">
      <c r="A91" s="308">
        <v>42481</v>
      </c>
      <c r="B91" s="310">
        <v>1.1301000000000001</v>
      </c>
    </row>
    <row r="92" spans="1:2" x14ac:dyDescent="0.25">
      <c r="A92" s="308">
        <v>42482</v>
      </c>
      <c r="B92" s="310">
        <v>1.1238999999999999</v>
      </c>
    </row>
    <row r="93" spans="1:2" x14ac:dyDescent="0.25">
      <c r="A93" s="308">
        <v>42485</v>
      </c>
      <c r="B93" s="310">
        <v>1.1274</v>
      </c>
    </row>
    <row r="94" spans="1:2" x14ac:dyDescent="0.25">
      <c r="A94" s="308">
        <v>42486</v>
      </c>
      <c r="B94" s="310">
        <v>1.1317999999999999</v>
      </c>
    </row>
    <row r="95" spans="1:2" x14ac:dyDescent="0.25">
      <c r="A95" s="308">
        <v>42487</v>
      </c>
      <c r="B95" s="310">
        <v>1.1322000000000001</v>
      </c>
    </row>
    <row r="96" spans="1:2" x14ac:dyDescent="0.25">
      <c r="A96" s="308">
        <v>42488</v>
      </c>
      <c r="B96" s="310">
        <v>1.1325000000000001</v>
      </c>
    </row>
    <row r="97" spans="1:2" x14ac:dyDescent="0.25">
      <c r="A97" s="308">
        <v>42489</v>
      </c>
      <c r="B97" s="310">
        <v>1.1440999999999999</v>
      </c>
    </row>
    <row r="98" spans="1:2" x14ac:dyDescent="0.25">
      <c r="A98" s="308">
        <v>42492</v>
      </c>
      <c r="B98" s="310">
        <v>1.1516</v>
      </c>
    </row>
    <row r="99" spans="1:2" x14ac:dyDescent="0.25">
      <c r="A99" s="308">
        <v>42493</v>
      </c>
      <c r="B99" s="310">
        <v>1.1508</v>
      </c>
    </row>
    <row r="100" spans="1:2" x14ac:dyDescent="0.25">
      <c r="A100" s="308">
        <v>42494</v>
      </c>
      <c r="B100" s="310">
        <v>1.1486000000000001</v>
      </c>
    </row>
    <row r="101" spans="1:2" x14ac:dyDescent="0.25">
      <c r="A101" s="308">
        <v>42495</v>
      </c>
      <c r="B101" s="310">
        <v>1.1404000000000001</v>
      </c>
    </row>
    <row r="102" spans="1:2" x14ac:dyDescent="0.25">
      <c r="A102" s="308">
        <v>42496</v>
      </c>
      <c r="B102" s="310">
        <v>1.1420999999999999</v>
      </c>
    </row>
    <row r="103" spans="1:2" x14ac:dyDescent="0.25">
      <c r="A103" s="308">
        <v>42499</v>
      </c>
      <c r="B103" s="310">
        <v>1.1402000000000001</v>
      </c>
    </row>
    <row r="104" spans="1:2" x14ac:dyDescent="0.25">
      <c r="A104" s="308">
        <v>42500</v>
      </c>
      <c r="B104" s="310">
        <v>1.1386000000000001</v>
      </c>
    </row>
    <row r="105" spans="1:2" x14ac:dyDescent="0.25">
      <c r="A105" s="308">
        <v>42501</v>
      </c>
      <c r="B105" s="310">
        <v>1.1444000000000001</v>
      </c>
    </row>
    <row r="106" spans="1:2" x14ac:dyDescent="0.25">
      <c r="A106" s="308">
        <v>42502</v>
      </c>
      <c r="B106" s="310">
        <v>1.1379999999999999</v>
      </c>
    </row>
    <row r="107" spans="1:2" x14ac:dyDescent="0.25">
      <c r="A107" s="308">
        <v>42503</v>
      </c>
      <c r="B107" s="310">
        <v>1.1294</v>
      </c>
    </row>
    <row r="108" spans="1:2" x14ac:dyDescent="0.25">
      <c r="A108" s="308">
        <v>42506</v>
      </c>
      <c r="B108" s="310">
        <v>1.1328</v>
      </c>
    </row>
    <row r="109" spans="1:2" x14ac:dyDescent="0.25">
      <c r="A109" s="308">
        <v>42507</v>
      </c>
      <c r="B109" s="310">
        <v>1.1336999999999999</v>
      </c>
    </row>
    <row r="110" spans="1:2" x14ac:dyDescent="0.25">
      <c r="A110" s="308">
        <v>42508</v>
      </c>
      <c r="B110" s="310">
        <v>1.1275999999999999</v>
      </c>
    </row>
    <row r="111" spans="1:2" x14ac:dyDescent="0.25">
      <c r="A111" s="308">
        <v>42509</v>
      </c>
      <c r="B111" s="310">
        <v>1.1214</v>
      </c>
    </row>
    <row r="112" spans="1:2" x14ac:dyDescent="0.25">
      <c r="A112" s="308">
        <v>42510</v>
      </c>
      <c r="B112" s="310">
        <v>1.1207</v>
      </c>
    </row>
    <row r="113" spans="1:2" x14ac:dyDescent="0.25">
      <c r="A113" s="308">
        <v>42513</v>
      </c>
      <c r="B113" s="310">
        <v>1.1192</v>
      </c>
    </row>
    <row r="114" spans="1:2" x14ac:dyDescent="0.25">
      <c r="A114" s="308">
        <v>42514</v>
      </c>
      <c r="B114" s="310">
        <v>1.1145</v>
      </c>
    </row>
    <row r="115" spans="1:2" x14ac:dyDescent="0.25">
      <c r="A115" s="308">
        <v>42515</v>
      </c>
      <c r="B115" s="310">
        <v>1.1153999999999999</v>
      </c>
    </row>
    <row r="116" spans="1:2" x14ac:dyDescent="0.25">
      <c r="A116" s="308">
        <v>42516</v>
      </c>
      <c r="B116" s="310">
        <v>1.1184000000000001</v>
      </c>
    </row>
    <row r="117" spans="1:2" x14ac:dyDescent="0.25">
      <c r="A117" s="308">
        <v>42517</v>
      </c>
      <c r="B117" s="310">
        <v>1.1140000000000001</v>
      </c>
    </row>
    <row r="118" spans="1:2" x14ac:dyDescent="0.25">
      <c r="A118" s="308">
        <v>42520</v>
      </c>
      <c r="B118" s="309">
        <v>0</v>
      </c>
    </row>
    <row r="119" spans="1:2" x14ac:dyDescent="0.25">
      <c r="A119" s="308">
        <v>42521</v>
      </c>
      <c r="B119" s="310">
        <v>1.1134999999999999</v>
      </c>
    </row>
    <row r="120" spans="1:2" x14ac:dyDescent="0.25">
      <c r="A120" s="308">
        <v>42522</v>
      </c>
      <c r="B120" s="310">
        <v>1.1165</v>
      </c>
    </row>
    <row r="121" spans="1:2" x14ac:dyDescent="0.25">
      <c r="A121" s="308">
        <v>42523</v>
      </c>
      <c r="B121" s="310">
        <v>1.1156999999999999</v>
      </c>
    </row>
    <row r="122" spans="1:2" x14ac:dyDescent="0.25">
      <c r="A122" s="308">
        <v>42524</v>
      </c>
      <c r="B122" s="310">
        <v>1.133</v>
      </c>
    </row>
    <row r="123" spans="1:2" x14ac:dyDescent="0.25">
      <c r="A123" s="308">
        <v>42527</v>
      </c>
      <c r="B123" s="310">
        <v>1.1354</v>
      </c>
    </row>
    <row r="124" spans="1:2" x14ac:dyDescent="0.25">
      <c r="A124" s="308">
        <v>42528</v>
      </c>
      <c r="B124" s="310">
        <v>1.135</v>
      </c>
    </row>
    <row r="125" spans="1:2" x14ac:dyDescent="0.25">
      <c r="A125" s="308">
        <v>42529</v>
      </c>
      <c r="B125" s="310">
        <v>1.1399999999999999</v>
      </c>
    </row>
    <row r="126" spans="1:2" x14ac:dyDescent="0.25">
      <c r="A126" s="308">
        <v>42530</v>
      </c>
      <c r="B126" s="310">
        <v>1.1329</v>
      </c>
    </row>
    <row r="127" spans="1:2" x14ac:dyDescent="0.25">
      <c r="A127" s="308">
        <v>42531</v>
      </c>
      <c r="B127" s="310">
        <v>1.1281000000000001</v>
      </c>
    </row>
    <row r="128" spans="1:2" x14ac:dyDescent="0.25">
      <c r="A128" s="308">
        <v>42534</v>
      </c>
      <c r="B128" s="310">
        <v>1.1282000000000001</v>
      </c>
    </row>
    <row r="129" spans="1:2" x14ac:dyDescent="0.25">
      <c r="A129" s="308">
        <v>42535</v>
      </c>
      <c r="B129" s="310">
        <v>1.1206</v>
      </c>
    </row>
    <row r="130" spans="1:2" x14ac:dyDescent="0.25">
      <c r="A130" s="308">
        <v>42536</v>
      </c>
      <c r="B130" s="310">
        <v>1.1238999999999999</v>
      </c>
    </row>
    <row r="131" spans="1:2" x14ac:dyDescent="0.25">
      <c r="A131" s="308">
        <v>42537</v>
      </c>
      <c r="B131" s="310">
        <v>1.1157999999999999</v>
      </c>
    </row>
    <row r="132" spans="1:2" x14ac:dyDescent="0.25">
      <c r="A132" s="308">
        <v>42538</v>
      </c>
      <c r="B132" s="310">
        <v>1.1255999999999999</v>
      </c>
    </row>
    <row r="133" spans="1:2" x14ac:dyDescent="0.25">
      <c r="A133" s="308">
        <v>42541</v>
      </c>
      <c r="B133" s="310">
        <v>1.1317999999999999</v>
      </c>
    </row>
    <row r="134" spans="1:2" x14ac:dyDescent="0.25">
      <c r="A134" s="308">
        <v>42542</v>
      </c>
      <c r="B134" s="310">
        <v>1.1262000000000001</v>
      </c>
    </row>
    <row r="135" spans="1:2" x14ac:dyDescent="0.25">
      <c r="A135" s="308">
        <v>42543</v>
      </c>
      <c r="B135" s="310">
        <v>1.1286</v>
      </c>
    </row>
    <row r="136" spans="1:2" x14ac:dyDescent="0.25">
      <c r="A136" s="308">
        <v>42544</v>
      </c>
      <c r="B136" s="310">
        <v>1.1373</v>
      </c>
    </row>
    <row r="137" spans="1:2" x14ac:dyDescent="0.25">
      <c r="A137" s="308">
        <v>42545</v>
      </c>
      <c r="B137" s="310">
        <v>1.1126</v>
      </c>
    </row>
    <row r="138" spans="1:2" x14ac:dyDescent="0.25">
      <c r="A138" s="308">
        <v>42548</v>
      </c>
      <c r="B138" s="310">
        <v>1.1024</v>
      </c>
    </row>
    <row r="139" spans="1:2" x14ac:dyDescent="0.25">
      <c r="A139" s="308">
        <v>42549</v>
      </c>
      <c r="B139" s="310">
        <v>1.1053999999999999</v>
      </c>
    </row>
    <row r="140" spans="1:2" x14ac:dyDescent="0.25">
      <c r="A140" s="308">
        <v>42550</v>
      </c>
      <c r="B140" s="310">
        <v>1.1116999999999999</v>
      </c>
    </row>
    <row r="141" spans="1:2" x14ac:dyDescent="0.25">
      <c r="A141" s="308">
        <v>42551</v>
      </c>
      <c r="B141" s="310">
        <v>1.1032</v>
      </c>
    </row>
    <row r="142" spans="1:2" x14ac:dyDescent="0.25">
      <c r="A142" s="308">
        <v>42552</v>
      </c>
      <c r="B142" s="310">
        <v>1.1145</v>
      </c>
    </row>
    <row r="143" spans="1:2" x14ac:dyDescent="0.25">
      <c r="A143" s="308">
        <v>42555</v>
      </c>
      <c r="B143" s="309">
        <v>0</v>
      </c>
    </row>
    <row r="144" spans="1:2" x14ac:dyDescent="0.25">
      <c r="A144" s="308">
        <v>42556</v>
      </c>
      <c r="B144" s="310">
        <v>1.1080000000000001</v>
      </c>
    </row>
    <row r="145" spans="1:2" x14ac:dyDescent="0.25">
      <c r="A145" s="308">
        <v>42557</v>
      </c>
      <c r="B145" s="310">
        <v>1.1076999999999999</v>
      </c>
    </row>
    <row r="146" spans="1:2" x14ac:dyDescent="0.25">
      <c r="A146" s="308">
        <v>42558</v>
      </c>
      <c r="B146" s="310">
        <v>1.1065</v>
      </c>
    </row>
    <row r="147" spans="1:2" x14ac:dyDescent="0.25">
      <c r="A147" s="308">
        <v>42559</v>
      </c>
      <c r="B147" s="310">
        <v>1.1037999999999999</v>
      </c>
    </row>
    <row r="148" spans="1:2" x14ac:dyDescent="0.25">
      <c r="A148" s="308">
        <v>42562</v>
      </c>
      <c r="B148" s="310">
        <v>1.1045</v>
      </c>
    </row>
    <row r="149" spans="1:2" x14ac:dyDescent="0.25">
      <c r="A149" s="308">
        <v>42563</v>
      </c>
      <c r="B149" s="310">
        <v>1.1073999999999999</v>
      </c>
    </row>
    <row r="150" spans="1:2" x14ac:dyDescent="0.25">
      <c r="A150" s="308">
        <v>42564</v>
      </c>
      <c r="B150" s="310">
        <v>1.1112</v>
      </c>
    </row>
    <row r="151" spans="1:2" x14ac:dyDescent="0.25">
      <c r="A151" s="308">
        <v>42565</v>
      </c>
      <c r="B151" s="310">
        <v>1.1109</v>
      </c>
    </row>
    <row r="152" spans="1:2" x14ac:dyDescent="0.25">
      <c r="A152" s="308">
        <v>42566</v>
      </c>
      <c r="B152" s="310">
        <v>1.1059000000000001</v>
      </c>
    </row>
    <row r="153" spans="1:2" x14ac:dyDescent="0.25">
      <c r="A153" s="308">
        <v>42569</v>
      </c>
      <c r="B153" s="310">
        <v>1.1075999999999999</v>
      </c>
    </row>
    <row r="154" spans="1:2" x14ac:dyDescent="0.25">
      <c r="A154" s="308">
        <v>42570</v>
      </c>
      <c r="B154" s="310">
        <v>1.1013999999999999</v>
      </c>
    </row>
    <row r="155" spans="1:2" x14ac:dyDescent="0.25">
      <c r="A155" s="308">
        <v>42571</v>
      </c>
      <c r="B155" s="310">
        <v>1.1007</v>
      </c>
    </row>
    <row r="156" spans="1:2" x14ac:dyDescent="0.25">
      <c r="A156" s="308">
        <v>42572</v>
      </c>
      <c r="B156" s="310">
        <v>1.1015999999999999</v>
      </c>
    </row>
    <row r="157" spans="1:2" x14ac:dyDescent="0.25">
      <c r="A157" s="308">
        <v>42573</v>
      </c>
      <c r="B157" s="310">
        <v>1.0968</v>
      </c>
    </row>
    <row r="158" spans="1:2" x14ac:dyDescent="0.25">
      <c r="A158" s="308">
        <v>42576</v>
      </c>
      <c r="B158" s="310">
        <v>1.0980000000000001</v>
      </c>
    </row>
    <row r="159" spans="1:2" x14ac:dyDescent="0.25">
      <c r="A159" s="308">
        <v>42577</v>
      </c>
      <c r="B159" s="310">
        <v>1.0984</v>
      </c>
    </row>
    <row r="160" spans="1:2" x14ac:dyDescent="0.25">
      <c r="A160" s="308">
        <v>42578</v>
      </c>
      <c r="B160" s="310">
        <v>1.0988</v>
      </c>
    </row>
    <row r="161" spans="1:2" x14ac:dyDescent="0.25">
      <c r="A161" s="308">
        <v>42579</v>
      </c>
      <c r="B161" s="310">
        <v>1.1093999999999999</v>
      </c>
    </row>
    <row r="162" spans="1:2" x14ac:dyDescent="0.25">
      <c r="A162" s="308">
        <v>42580</v>
      </c>
      <c r="B162" s="310">
        <v>1.1168</v>
      </c>
    </row>
    <row r="163" spans="1:2" x14ac:dyDescent="0.25">
      <c r="A163" s="308">
        <v>42583</v>
      </c>
      <c r="B163" s="310">
        <v>1.1175999999999999</v>
      </c>
    </row>
    <row r="164" spans="1:2" x14ac:dyDescent="0.25">
      <c r="A164" s="308">
        <v>42584</v>
      </c>
      <c r="B164" s="310">
        <v>1.1225000000000001</v>
      </c>
    </row>
    <row r="165" spans="1:2" x14ac:dyDescent="0.25">
      <c r="A165" s="308">
        <v>42585</v>
      </c>
      <c r="B165" s="310">
        <v>1.117</v>
      </c>
    </row>
    <row r="166" spans="1:2" x14ac:dyDescent="0.25">
      <c r="A166" s="308">
        <v>42586</v>
      </c>
      <c r="B166" s="310">
        <v>1.1133999999999999</v>
      </c>
    </row>
    <row r="167" spans="1:2" x14ac:dyDescent="0.25">
      <c r="A167" s="308">
        <v>42587</v>
      </c>
      <c r="B167" s="310">
        <v>1.1080000000000001</v>
      </c>
    </row>
    <row r="168" spans="1:2" x14ac:dyDescent="0.25">
      <c r="A168" s="308">
        <v>42590</v>
      </c>
      <c r="B168" s="310">
        <v>1.1077999999999999</v>
      </c>
    </row>
    <row r="169" spans="1:2" x14ac:dyDescent="0.25">
      <c r="A169" s="308">
        <v>42591</v>
      </c>
      <c r="B169" s="310">
        <v>1.111</v>
      </c>
    </row>
    <row r="170" spans="1:2" x14ac:dyDescent="0.25">
      <c r="A170" s="308">
        <v>42592</v>
      </c>
      <c r="B170" s="310">
        <v>1.1171</v>
      </c>
    </row>
    <row r="171" spans="1:2" x14ac:dyDescent="0.25">
      <c r="A171" s="308">
        <v>42593</v>
      </c>
      <c r="B171" s="310">
        <v>1.1168</v>
      </c>
    </row>
    <row r="172" spans="1:2" x14ac:dyDescent="0.25">
      <c r="A172" s="308">
        <v>42594</v>
      </c>
      <c r="B172" s="310">
        <v>1.1172</v>
      </c>
    </row>
    <row r="173" spans="1:2" x14ac:dyDescent="0.25">
      <c r="A173" s="308">
        <v>42597</v>
      </c>
      <c r="B173" s="310">
        <v>1.1198999999999999</v>
      </c>
    </row>
    <row r="174" spans="1:2" x14ac:dyDescent="0.25">
      <c r="A174" s="308">
        <v>42598</v>
      </c>
      <c r="B174" s="310">
        <v>1.1276999999999999</v>
      </c>
    </row>
    <row r="175" spans="1:2" x14ac:dyDescent="0.25">
      <c r="A175" s="308">
        <v>42599</v>
      </c>
      <c r="B175" s="310">
        <v>1.1263000000000001</v>
      </c>
    </row>
    <row r="176" spans="1:2" x14ac:dyDescent="0.25">
      <c r="A176" s="308">
        <v>42600</v>
      </c>
      <c r="B176" s="310">
        <v>1.1334</v>
      </c>
    </row>
    <row r="177" spans="1:2" x14ac:dyDescent="0.25">
      <c r="A177" s="308">
        <v>42601</v>
      </c>
      <c r="B177" s="310">
        <v>1.1326000000000001</v>
      </c>
    </row>
    <row r="178" spans="1:2" x14ac:dyDescent="0.25">
      <c r="A178" s="308">
        <v>42604</v>
      </c>
      <c r="B178" s="310">
        <v>1.1314</v>
      </c>
    </row>
    <row r="179" spans="1:2" x14ac:dyDescent="0.25">
      <c r="A179" s="308">
        <v>42605</v>
      </c>
      <c r="B179" s="310">
        <v>1.1308</v>
      </c>
    </row>
    <row r="180" spans="1:2" x14ac:dyDescent="0.25">
      <c r="A180" s="308">
        <v>42606</v>
      </c>
      <c r="B180" s="310">
        <v>1.1255999999999999</v>
      </c>
    </row>
    <row r="181" spans="1:2" x14ac:dyDescent="0.25">
      <c r="A181" s="308">
        <v>42607</v>
      </c>
      <c r="B181" s="310">
        <v>1.1274</v>
      </c>
    </row>
    <row r="182" spans="1:2" x14ac:dyDescent="0.25">
      <c r="A182" s="308">
        <v>42608</v>
      </c>
      <c r="B182" s="310">
        <v>1.1236999999999999</v>
      </c>
    </row>
    <row r="183" spans="1:2" x14ac:dyDescent="0.25">
      <c r="A183" s="308">
        <v>42611</v>
      </c>
      <c r="B183" s="310">
        <v>1.1182000000000001</v>
      </c>
    </row>
    <row r="184" spans="1:2" x14ac:dyDescent="0.25">
      <c r="A184" s="308">
        <v>42612</v>
      </c>
      <c r="B184" s="310">
        <v>1.115</v>
      </c>
    </row>
    <row r="185" spans="1:2" x14ac:dyDescent="0.25">
      <c r="A185" s="308">
        <v>42613</v>
      </c>
      <c r="B185" s="310">
        <v>1.1146</v>
      </c>
    </row>
    <row r="186" spans="1:2" x14ac:dyDescent="0.25">
      <c r="A186" s="308">
        <v>42614</v>
      </c>
      <c r="B186" s="310">
        <v>1.1194</v>
      </c>
    </row>
    <row r="187" spans="1:2" x14ac:dyDescent="0.25">
      <c r="A187" s="308">
        <v>42615</v>
      </c>
      <c r="B187" s="310">
        <v>1.1157999999999999</v>
      </c>
    </row>
    <row r="188" spans="1:2" x14ac:dyDescent="0.25">
      <c r="A188" s="308">
        <v>42618</v>
      </c>
      <c r="B188" s="309">
        <v>0</v>
      </c>
    </row>
    <row r="189" spans="1:2" x14ac:dyDescent="0.25">
      <c r="A189" s="308">
        <v>42619</v>
      </c>
      <c r="B189" s="310">
        <v>1.1236999999999999</v>
      </c>
    </row>
    <row r="190" spans="1:2" x14ac:dyDescent="0.25">
      <c r="A190" s="308">
        <v>42620</v>
      </c>
      <c r="B190" s="310">
        <v>1.1237999999999999</v>
      </c>
    </row>
    <row r="191" spans="1:2" x14ac:dyDescent="0.25">
      <c r="A191" s="308">
        <v>42621</v>
      </c>
      <c r="B191" s="310">
        <v>1.1255999999999999</v>
      </c>
    </row>
    <row r="192" spans="1:2" x14ac:dyDescent="0.25">
      <c r="A192" s="308">
        <v>42622</v>
      </c>
      <c r="B192" s="310">
        <v>1.1214</v>
      </c>
    </row>
    <row r="193" spans="1:2" x14ac:dyDescent="0.25">
      <c r="A193" s="308">
        <v>42625</v>
      </c>
      <c r="B193" s="310">
        <v>1.123</v>
      </c>
    </row>
    <row r="194" spans="1:2" x14ac:dyDescent="0.25">
      <c r="A194" s="308">
        <v>42626</v>
      </c>
      <c r="B194" s="310">
        <v>1.1242000000000001</v>
      </c>
    </row>
    <row r="195" spans="1:2" x14ac:dyDescent="0.25">
      <c r="A195" s="308">
        <v>42627</v>
      </c>
      <c r="B195" s="310">
        <v>1.1271</v>
      </c>
    </row>
    <row r="196" spans="1:2" x14ac:dyDescent="0.25">
      <c r="A196" s="308">
        <v>42628</v>
      </c>
      <c r="B196" s="310">
        <v>1.1246</v>
      </c>
    </row>
    <row r="197" spans="1:2" x14ac:dyDescent="0.25">
      <c r="A197" s="308">
        <v>42629</v>
      </c>
      <c r="B197" s="310">
        <v>1.1160000000000001</v>
      </c>
    </row>
    <row r="198" spans="1:2" x14ac:dyDescent="0.25">
      <c r="A198" s="308">
        <v>42632</v>
      </c>
      <c r="B198" s="310">
        <v>1.1178999999999999</v>
      </c>
    </row>
    <row r="199" spans="1:2" x14ac:dyDescent="0.25">
      <c r="A199" s="308">
        <v>42633</v>
      </c>
      <c r="B199" s="310">
        <v>1.1172</v>
      </c>
    </row>
    <row r="200" spans="1:2" x14ac:dyDescent="0.25">
      <c r="A200" s="308">
        <v>42634</v>
      </c>
      <c r="B200" s="310">
        <v>1.1165</v>
      </c>
    </row>
    <row r="201" spans="1:2" x14ac:dyDescent="0.25">
      <c r="A201" s="308">
        <v>42635</v>
      </c>
      <c r="B201" s="310">
        <v>1.1229</v>
      </c>
    </row>
    <row r="202" spans="1:2" x14ac:dyDescent="0.25">
      <c r="A202" s="308">
        <v>42636</v>
      </c>
      <c r="B202" s="310">
        <v>1.1223000000000001</v>
      </c>
    </row>
    <row r="203" spans="1:2" x14ac:dyDescent="0.25">
      <c r="A203" s="308">
        <v>42639</v>
      </c>
      <c r="B203" s="310">
        <v>1.127</v>
      </c>
    </row>
    <row r="204" spans="1:2" x14ac:dyDescent="0.25">
      <c r="A204" s="308">
        <v>42640</v>
      </c>
      <c r="B204" s="310">
        <v>1.1208</v>
      </c>
    </row>
    <row r="205" spans="1:2" x14ac:dyDescent="0.25">
      <c r="A205" s="308">
        <v>42641</v>
      </c>
      <c r="B205" s="310">
        <v>1.1200000000000001</v>
      </c>
    </row>
    <row r="206" spans="1:2" x14ac:dyDescent="0.25">
      <c r="A206" s="308">
        <v>42642</v>
      </c>
      <c r="B206" s="310">
        <v>1.1244000000000001</v>
      </c>
    </row>
    <row r="207" spans="1:2" x14ac:dyDescent="0.25">
      <c r="A207" s="308">
        <v>42643</v>
      </c>
      <c r="B207" s="310">
        <v>1.1237999999999999</v>
      </c>
    </row>
    <row r="208" spans="1:2" x14ac:dyDescent="0.25">
      <c r="A208" s="308">
        <v>42646</v>
      </c>
      <c r="B208" s="310">
        <v>1.121</v>
      </c>
    </row>
    <row r="209" spans="1:2" x14ac:dyDescent="0.25">
      <c r="A209" s="308">
        <v>42647</v>
      </c>
      <c r="B209" s="310">
        <v>1.1212</v>
      </c>
    </row>
    <row r="210" spans="1:2" x14ac:dyDescent="0.25">
      <c r="A210" s="308">
        <v>42648</v>
      </c>
      <c r="B210" s="310">
        <v>1.1195999999999999</v>
      </c>
    </row>
    <row r="211" spans="1:2" x14ac:dyDescent="0.25">
      <c r="A211" s="308">
        <v>42649</v>
      </c>
      <c r="B211" s="310">
        <v>1.1157999999999999</v>
      </c>
    </row>
    <row r="212" spans="1:2" x14ac:dyDescent="0.25">
      <c r="A212" s="308">
        <v>42650</v>
      </c>
      <c r="B212" s="310">
        <v>1.1155999999999999</v>
      </c>
    </row>
    <row r="213" spans="1:2" x14ac:dyDescent="0.25">
      <c r="A213" s="308">
        <v>42653</v>
      </c>
      <c r="B213" s="309">
        <v>0</v>
      </c>
    </row>
    <row r="214" spans="1:2" x14ac:dyDescent="0.25">
      <c r="A214" s="308">
        <v>42654</v>
      </c>
      <c r="B214" s="310">
        <v>1.1062000000000001</v>
      </c>
    </row>
    <row r="215" spans="1:2" x14ac:dyDescent="0.25">
      <c r="A215" s="308">
        <v>42655</v>
      </c>
      <c r="B215" s="310">
        <v>1.1013999999999999</v>
      </c>
    </row>
    <row r="216" spans="1:2" x14ac:dyDescent="0.25">
      <c r="A216" s="308">
        <v>42656</v>
      </c>
      <c r="B216" s="310">
        <v>1.1037999999999999</v>
      </c>
    </row>
    <row r="217" spans="1:2" x14ac:dyDescent="0.25">
      <c r="A217" s="308">
        <v>42657</v>
      </c>
      <c r="B217" s="310">
        <v>1.0985</v>
      </c>
    </row>
    <row r="218" spans="1:2" x14ac:dyDescent="0.25">
      <c r="A218" s="308">
        <v>42660</v>
      </c>
      <c r="B218" s="310">
        <v>1.1000000000000001</v>
      </c>
    </row>
    <row r="219" spans="1:2" x14ac:dyDescent="0.25">
      <c r="A219" s="308">
        <v>42661</v>
      </c>
      <c r="B219" s="310">
        <v>1.0996999999999999</v>
      </c>
    </row>
    <row r="220" spans="1:2" x14ac:dyDescent="0.25">
      <c r="A220" s="308">
        <v>42662</v>
      </c>
      <c r="B220" s="310">
        <v>1.0966</v>
      </c>
    </row>
    <row r="221" spans="1:2" x14ac:dyDescent="0.25">
      <c r="A221" s="308">
        <v>42663</v>
      </c>
      <c r="B221" s="310">
        <v>1.0933999999999999</v>
      </c>
    </row>
    <row r="222" spans="1:2" x14ac:dyDescent="0.25">
      <c r="A222" s="308">
        <v>42664</v>
      </c>
      <c r="B222" s="310">
        <v>1.0866</v>
      </c>
    </row>
    <row r="223" spans="1:2" x14ac:dyDescent="0.25">
      <c r="A223" s="308">
        <v>42667</v>
      </c>
      <c r="B223" s="310">
        <v>1.0888</v>
      </c>
    </row>
    <row r="224" spans="1:2" x14ac:dyDescent="0.25">
      <c r="A224" s="308">
        <v>42668</v>
      </c>
      <c r="B224" s="310">
        <v>1.089</v>
      </c>
    </row>
    <row r="225" spans="1:2" x14ac:dyDescent="0.25">
      <c r="A225" s="308">
        <v>42669</v>
      </c>
      <c r="B225" s="310">
        <v>1.0915999999999999</v>
      </c>
    </row>
    <row r="226" spans="1:2" x14ac:dyDescent="0.25">
      <c r="A226" s="308">
        <v>42670</v>
      </c>
      <c r="B226" s="310">
        <v>1.0904</v>
      </c>
    </row>
    <row r="227" spans="1:2" x14ac:dyDescent="0.25">
      <c r="A227" s="308">
        <v>42671</v>
      </c>
      <c r="B227" s="310">
        <v>1.0933999999999999</v>
      </c>
    </row>
    <row r="228" spans="1:2" x14ac:dyDescent="0.25">
      <c r="A228" s="308">
        <v>42674</v>
      </c>
      <c r="B228" s="310">
        <v>1.0962000000000001</v>
      </c>
    </row>
    <row r="229" spans="1:2" x14ac:dyDescent="0.25">
      <c r="A229" s="308">
        <v>42675</v>
      </c>
      <c r="B229" s="310">
        <v>1.1042000000000001</v>
      </c>
    </row>
    <row r="230" spans="1:2" x14ac:dyDescent="0.25">
      <c r="A230" s="308">
        <v>42676</v>
      </c>
      <c r="B230" s="310">
        <v>1.1119000000000001</v>
      </c>
    </row>
    <row r="231" spans="1:2" x14ac:dyDescent="0.25">
      <c r="A231" s="308">
        <v>42677</v>
      </c>
      <c r="B231" s="310">
        <v>1.1093999999999999</v>
      </c>
    </row>
    <row r="232" spans="1:2" x14ac:dyDescent="0.25">
      <c r="A232" s="308">
        <v>42678</v>
      </c>
      <c r="B232" s="310">
        <v>1.1121000000000001</v>
      </c>
    </row>
    <row r="233" spans="1:2" x14ac:dyDescent="0.25">
      <c r="A233" s="308">
        <v>42681</v>
      </c>
      <c r="B233" s="310">
        <v>1.1037999999999999</v>
      </c>
    </row>
    <row r="234" spans="1:2" x14ac:dyDescent="0.25">
      <c r="A234" s="308">
        <v>42682</v>
      </c>
      <c r="B234" s="310">
        <v>1.1033999999999999</v>
      </c>
    </row>
    <row r="235" spans="1:2" x14ac:dyDescent="0.25">
      <c r="A235" s="308">
        <v>42683</v>
      </c>
      <c r="B235" s="310">
        <v>1.0952</v>
      </c>
    </row>
    <row r="236" spans="1:2" x14ac:dyDescent="0.25">
      <c r="A236" s="308">
        <v>42684</v>
      </c>
      <c r="B236" s="310">
        <v>1.0882000000000001</v>
      </c>
    </row>
    <row r="237" spans="1:2" x14ac:dyDescent="0.25">
      <c r="A237" s="308">
        <v>42685</v>
      </c>
      <c r="B237" s="309">
        <v>0</v>
      </c>
    </row>
    <row r="238" spans="1:2" x14ac:dyDescent="0.25">
      <c r="A238" s="308">
        <v>42688</v>
      </c>
      <c r="B238" s="310">
        <v>1.0723</v>
      </c>
    </row>
    <row r="239" spans="1:2" x14ac:dyDescent="0.25">
      <c r="A239" s="308">
        <v>42689</v>
      </c>
      <c r="B239" s="310">
        <v>1.0726</v>
      </c>
    </row>
    <row r="240" spans="1:2" x14ac:dyDescent="0.25">
      <c r="A240" s="308">
        <v>42690</v>
      </c>
      <c r="B240" s="310">
        <v>1.0699000000000001</v>
      </c>
    </row>
    <row r="241" spans="1:2" x14ac:dyDescent="0.25">
      <c r="A241" s="308">
        <v>42691</v>
      </c>
      <c r="B241" s="310">
        <v>1.0656000000000001</v>
      </c>
    </row>
    <row r="242" spans="1:2" x14ac:dyDescent="0.25">
      <c r="A242" s="308">
        <v>42692</v>
      </c>
      <c r="B242" s="310">
        <v>1.06</v>
      </c>
    </row>
    <row r="243" spans="1:2" x14ac:dyDescent="0.25">
      <c r="A243" s="308">
        <v>42695</v>
      </c>
      <c r="B243" s="310">
        <v>1.0597000000000001</v>
      </c>
    </row>
    <row r="244" spans="1:2" x14ac:dyDescent="0.25">
      <c r="A244" s="308">
        <v>42696</v>
      </c>
      <c r="B244" s="310">
        <v>1.0618000000000001</v>
      </c>
    </row>
    <row r="245" spans="1:2" x14ac:dyDescent="0.25">
      <c r="A245" s="308">
        <v>42697</v>
      </c>
      <c r="B245" s="310">
        <v>1.056</v>
      </c>
    </row>
    <row r="246" spans="1:2" x14ac:dyDescent="0.25">
      <c r="A246" s="308">
        <v>42698</v>
      </c>
      <c r="B246" s="309">
        <v>0</v>
      </c>
    </row>
    <row r="247" spans="1:2" x14ac:dyDescent="0.25">
      <c r="A247" s="308">
        <v>42699</v>
      </c>
      <c r="B247" s="310">
        <v>1.0595000000000001</v>
      </c>
    </row>
    <row r="248" spans="1:2" x14ac:dyDescent="0.25">
      <c r="A248" s="308">
        <v>42702</v>
      </c>
      <c r="B248" s="310">
        <v>1.0576000000000001</v>
      </c>
    </row>
    <row r="249" spans="1:2" x14ac:dyDescent="0.25">
      <c r="A249" s="308">
        <v>42703</v>
      </c>
      <c r="B249" s="310">
        <v>1.0626</v>
      </c>
    </row>
    <row r="250" spans="1:2" x14ac:dyDescent="0.25">
      <c r="A250" s="308">
        <v>42704</v>
      </c>
      <c r="B250" s="310">
        <v>1.0578000000000001</v>
      </c>
    </row>
    <row r="251" spans="1:2" x14ac:dyDescent="0.25">
      <c r="A251" s="308">
        <v>42705</v>
      </c>
      <c r="B251" s="310">
        <v>1.0633999999999999</v>
      </c>
    </row>
    <row r="252" spans="1:2" x14ac:dyDescent="0.25">
      <c r="A252" s="308">
        <v>42706</v>
      </c>
      <c r="B252" s="310">
        <v>1.0666</v>
      </c>
    </row>
    <row r="253" spans="1:2" x14ac:dyDescent="0.25">
      <c r="A253" s="308">
        <v>42709</v>
      </c>
      <c r="B253" s="310">
        <v>1.0723</v>
      </c>
    </row>
    <row r="254" spans="1:2" x14ac:dyDescent="0.25">
      <c r="A254" s="308">
        <v>42710</v>
      </c>
      <c r="B254" s="310">
        <v>1.0717000000000001</v>
      </c>
    </row>
    <row r="255" spans="1:2" x14ac:dyDescent="0.25">
      <c r="A255" s="308">
        <v>42711</v>
      </c>
      <c r="B255" s="310">
        <v>1.0758000000000001</v>
      </c>
    </row>
    <row r="256" spans="1:2" x14ac:dyDescent="0.25">
      <c r="A256" s="308">
        <v>42712</v>
      </c>
      <c r="B256" s="310">
        <v>1.0625</v>
      </c>
    </row>
    <row r="257" spans="1:2" x14ac:dyDescent="0.25">
      <c r="A257" s="308">
        <v>42713</v>
      </c>
      <c r="B257" s="310">
        <v>1.0541</v>
      </c>
    </row>
    <row r="258" spans="1:2" x14ac:dyDescent="0.25">
      <c r="A258" s="308">
        <v>42716</v>
      </c>
      <c r="B258" s="310">
        <v>1.0606</v>
      </c>
    </row>
    <row r="259" spans="1:2" x14ac:dyDescent="0.25">
      <c r="A259" s="308">
        <v>42717</v>
      </c>
      <c r="B259" s="310">
        <v>1.0634999999999999</v>
      </c>
    </row>
    <row r="260" spans="1:2" x14ac:dyDescent="0.25">
      <c r="A260" s="308">
        <v>42718</v>
      </c>
      <c r="B260" s="310">
        <v>1.0656000000000001</v>
      </c>
    </row>
    <row r="261" spans="1:2" x14ac:dyDescent="0.25">
      <c r="A261" s="308">
        <v>42719</v>
      </c>
      <c r="B261" s="310">
        <v>1.0375000000000001</v>
      </c>
    </row>
    <row r="262" spans="1:2" x14ac:dyDescent="0.25">
      <c r="A262" s="308">
        <v>42720</v>
      </c>
      <c r="B262" s="310">
        <v>1.0456000000000001</v>
      </c>
    </row>
    <row r="263" spans="1:2" x14ac:dyDescent="0.25">
      <c r="A263" s="308">
        <v>42723</v>
      </c>
      <c r="B263" s="310">
        <v>1.0444</v>
      </c>
    </row>
    <row r="264" spans="1:2" x14ac:dyDescent="0.25">
      <c r="A264" s="308">
        <v>42724</v>
      </c>
      <c r="B264" s="310">
        <v>1.0389999999999999</v>
      </c>
    </row>
    <row r="265" spans="1:2" x14ac:dyDescent="0.25">
      <c r="A265" s="308">
        <v>42725</v>
      </c>
      <c r="B265" s="310">
        <v>1.0425</v>
      </c>
    </row>
    <row r="266" spans="1:2" x14ac:dyDescent="0.25">
      <c r="A266" s="308">
        <v>42726</v>
      </c>
      <c r="B266" s="310">
        <v>1.0451999999999999</v>
      </c>
    </row>
    <row r="267" spans="1:2" x14ac:dyDescent="0.25">
      <c r="A267" s="308">
        <v>42727</v>
      </c>
      <c r="B267" s="310">
        <v>1.0448999999999999</v>
      </c>
    </row>
    <row r="268" spans="1:2" x14ac:dyDescent="0.25">
      <c r="A268" s="308">
        <v>42730</v>
      </c>
      <c r="B268" s="309">
        <v>0</v>
      </c>
    </row>
    <row r="269" spans="1:2" x14ac:dyDescent="0.25">
      <c r="A269" s="308">
        <v>42731</v>
      </c>
      <c r="B269" s="310">
        <v>1.0458000000000001</v>
      </c>
    </row>
    <row r="270" spans="1:2" x14ac:dyDescent="0.25">
      <c r="A270" s="308">
        <v>42732</v>
      </c>
      <c r="B270" s="310">
        <v>1.0388999999999999</v>
      </c>
    </row>
    <row r="271" spans="1:2" x14ac:dyDescent="0.25">
      <c r="A271" s="308">
        <v>42733</v>
      </c>
      <c r="B271" s="310">
        <v>1.0486</v>
      </c>
    </row>
    <row r="272" spans="1:2" x14ac:dyDescent="0.25">
      <c r="A272" s="308">
        <v>42734</v>
      </c>
      <c r="B272" s="310">
        <v>1.0551999999999999</v>
      </c>
    </row>
    <row r="273" spans="1:2" x14ac:dyDescent="0.25">
      <c r="A273" s="308">
        <v>42737</v>
      </c>
      <c r="B273" s="309">
        <v>0</v>
      </c>
    </row>
    <row r="274" spans="1:2" x14ac:dyDescent="0.25">
      <c r="A274" s="308">
        <v>42738</v>
      </c>
      <c r="B274" s="310">
        <v>1.0416000000000001</v>
      </c>
    </row>
    <row r="275" spans="1:2" x14ac:dyDescent="0.25">
      <c r="A275" s="308">
        <v>42739</v>
      </c>
      <c r="B275" s="310">
        <v>1.0476000000000001</v>
      </c>
    </row>
    <row r="276" spans="1:2" x14ac:dyDescent="0.25">
      <c r="A276" s="308">
        <v>42740</v>
      </c>
      <c r="B276" s="310">
        <v>1.0598000000000001</v>
      </c>
    </row>
    <row r="277" spans="1:2" x14ac:dyDescent="0.25">
      <c r="A277" s="308">
        <v>42741</v>
      </c>
      <c r="B277" s="310">
        <v>1.056</v>
      </c>
    </row>
    <row r="278" spans="1:2" x14ac:dyDescent="0.25">
      <c r="A278" s="308">
        <v>42744</v>
      </c>
      <c r="B278" s="310">
        <v>1.0576000000000001</v>
      </c>
    </row>
    <row r="279" spans="1:2" x14ac:dyDescent="0.25">
      <c r="A279" s="308">
        <v>42745</v>
      </c>
      <c r="B279" s="310">
        <v>1.0571999999999999</v>
      </c>
    </row>
    <row r="280" spans="1:2" x14ac:dyDescent="0.25">
      <c r="A280" s="308">
        <v>42746</v>
      </c>
      <c r="B280" s="310">
        <v>1.0501</v>
      </c>
    </row>
    <row r="281" spans="1:2" x14ac:dyDescent="0.25">
      <c r="A281" s="308">
        <v>42747</v>
      </c>
      <c r="B281" s="310">
        <v>1.0666</v>
      </c>
    </row>
    <row r="282" spans="1:2" x14ac:dyDescent="0.25">
      <c r="A282" s="308">
        <v>42748</v>
      </c>
      <c r="B282" s="310">
        <v>1.0625</v>
      </c>
    </row>
    <row r="283" spans="1:2" x14ac:dyDescent="0.25">
      <c r="A283" s="308">
        <v>42751</v>
      </c>
      <c r="B283" s="309">
        <v>0</v>
      </c>
    </row>
    <row r="284" spans="1:2" x14ac:dyDescent="0.25">
      <c r="A284" s="308">
        <v>42752</v>
      </c>
      <c r="B284" s="310">
        <v>1.0694999999999999</v>
      </c>
    </row>
    <row r="285" spans="1:2" x14ac:dyDescent="0.25">
      <c r="A285" s="308">
        <v>42753</v>
      </c>
      <c r="B285" s="310">
        <v>1.0682</v>
      </c>
    </row>
    <row r="286" spans="1:2" x14ac:dyDescent="0.25">
      <c r="A286" s="308">
        <v>42754</v>
      </c>
      <c r="B286" s="310">
        <v>1.0629999999999999</v>
      </c>
    </row>
    <row r="287" spans="1:2" x14ac:dyDescent="0.25">
      <c r="A287" s="308">
        <v>42755</v>
      </c>
      <c r="B287" s="309">
        <v>0</v>
      </c>
    </row>
    <row r="288" spans="1:2" x14ac:dyDescent="0.25">
      <c r="A288" s="308">
        <v>42758</v>
      </c>
      <c r="B288" s="310">
        <v>1.0740000000000001</v>
      </c>
    </row>
    <row r="289" spans="1:2" x14ac:dyDescent="0.25">
      <c r="A289" s="308">
        <v>42759</v>
      </c>
      <c r="B289" s="310">
        <v>1.0749</v>
      </c>
    </row>
    <row r="290" spans="1:2" x14ac:dyDescent="0.25">
      <c r="A290" s="308">
        <v>42760</v>
      </c>
      <c r="B290" s="310">
        <v>1.0743</v>
      </c>
    </row>
    <row r="291" spans="1:2" x14ac:dyDescent="0.25">
      <c r="A291" s="308">
        <v>42761</v>
      </c>
      <c r="B291" s="310">
        <v>1.0669999999999999</v>
      </c>
    </row>
    <row r="292" spans="1:2" x14ac:dyDescent="0.25">
      <c r="A292" s="308">
        <v>42762</v>
      </c>
      <c r="B292" s="310">
        <v>1.069</v>
      </c>
    </row>
    <row r="293" spans="1:2" x14ac:dyDescent="0.25">
      <c r="A293" s="308">
        <v>42765</v>
      </c>
      <c r="B293" s="310">
        <v>1.0681</v>
      </c>
    </row>
    <row r="294" spans="1:2" x14ac:dyDescent="0.25">
      <c r="A294" s="308">
        <v>42766</v>
      </c>
      <c r="B294" s="310">
        <v>1.0793999999999999</v>
      </c>
    </row>
    <row r="295" spans="1:2" x14ac:dyDescent="0.25">
      <c r="A295" s="308">
        <v>42767</v>
      </c>
      <c r="B295" s="310">
        <v>1.0758000000000001</v>
      </c>
    </row>
    <row r="296" spans="1:2" x14ac:dyDescent="0.25">
      <c r="A296" s="308">
        <v>42768</v>
      </c>
      <c r="B296" s="310">
        <v>1.0802</v>
      </c>
    </row>
    <row r="297" spans="1:2" x14ac:dyDescent="0.25">
      <c r="A297" s="308">
        <v>42769</v>
      </c>
      <c r="B297" s="310">
        <v>1.0791999999999999</v>
      </c>
    </row>
    <row r="298" spans="1:2" x14ac:dyDescent="0.25">
      <c r="A298" s="308">
        <v>42772</v>
      </c>
      <c r="B298" s="310">
        <v>1.0730999999999999</v>
      </c>
    </row>
    <row r="299" spans="1:2" x14ac:dyDescent="0.25">
      <c r="A299" s="308">
        <v>42773</v>
      </c>
      <c r="B299" s="310">
        <v>1.069</v>
      </c>
    </row>
    <row r="300" spans="1:2" x14ac:dyDescent="0.25">
      <c r="A300" s="308">
        <v>42774</v>
      </c>
      <c r="B300" s="310">
        <v>1.0708</v>
      </c>
    </row>
    <row r="301" spans="1:2" x14ac:dyDescent="0.25">
      <c r="A301" s="308">
        <v>42775</v>
      </c>
      <c r="B301" s="310">
        <v>1.0658000000000001</v>
      </c>
    </row>
    <row r="302" spans="1:2" x14ac:dyDescent="0.25">
      <c r="A302" s="308">
        <v>42776</v>
      </c>
      <c r="B302" s="310">
        <v>1.0649999999999999</v>
      </c>
    </row>
    <row r="303" spans="1:2" x14ac:dyDescent="0.25">
      <c r="A303" s="308">
        <v>42779</v>
      </c>
      <c r="B303" s="310">
        <v>1.0603</v>
      </c>
    </row>
    <row r="304" spans="1:2" x14ac:dyDescent="0.25">
      <c r="A304" s="308">
        <v>42780</v>
      </c>
      <c r="B304" s="310">
        <v>1.0577000000000001</v>
      </c>
    </row>
    <row r="305" spans="1:2" x14ac:dyDescent="0.25">
      <c r="A305" s="308">
        <v>42781</v>
      </c>
      <c r="B305" s="310">
        <v>1.0597000000000001</v>
      </c>
    </row>
    <row r="306" spans="1:2" x14ac:dyDescent="0.25">
      <c r="A306" s="308">
        <v>42782</v>
      </c>
      <c r="B306" s="310">
        <v>1.0660000000000001</v>
      </c>
    </row>
    <row r="307" spans="1:2" x14ac:dyDescent="0.25">
      <c r="A307" s="308">
        <v>42783</v>
      </c>
      <c r="B307" s="310">
        <v>1.0613999999999999</v>
      </c>
    </row>
    <row r="308" spans="1:2" x14ac:dyDescent="0.25">
      <c r="A308" s="308">
        <v>42786</v>
      </c>
      <c r="B308" s="309">
        <v>0</v>
      </c>
    </row>
    <row r="309" spans="1:2" x14ac:dyDescent="0.25">
      <c r="A309" s="308">
        <v>42787</v>
      </c>
      <c r="B309" s="310">
        <v>1.0550999999999999</v>
      </c>
    </row>
    <row r="310" spans="1:2" x14ac:dyDescent="0.25">
      <c r="A310" s="308">
        <v>42788</v>
      </c>
      <c r="B310" s="310">
        <v>1.0555000000000001</v>
      </c>
    </row>
    <row r="311" spans="1:2" x14ac:dyDescent="0.25">
      <c r="A311" s="308">
        <v>42789</v>
      </c>
      <c r="B311" s="310">
        <v>1.0586</v>
      </c>
    </row>
    <row r="312" spans="1:2" x14ac:dyDescent="0.25">
      <c r="A312" s="308">
        <v>42790</v>
      </c>
      <c r="B312" s="310">
        <v>1.0580000000000001</v>
      </c>
    </row>
    <row r="313" spans="1:2" x14ac:dyDescent="0.25">
      <c r="A313" s="308">
        <v>42793</v>
      </c>
      <c r="B313" s="310">
        <v>1.0624</v>
      </c>
    </row>
    <row r="314" spans="1:2" x14ac:dyDescent="0.25">
      <c r="A314" s="308">
        <v>42794</v>
      </c>
      <c r="B314" s="310">
        <v>1.0618000000000001</v>
      </c>
    </row>
    <row r="315" spans="1:2" x14ac:dyDescent="0.25">
      <c r="A315" s="308">
        <v>42795</v>
      </c>
      <c r="B315" s="310">
        <v>1.0564</v>
      </c>
    </row>
    <row r="316" spans="1:2" x14ac:dyDescent="0.25">
      <c r="A316" s="308">
        <v>42796</v>
      </c>
      <c r="B316" s="310">
        <v>1.0513999999999999</v>
      </c>
    </row>
    <row r="317" spans="1:2" x14ac:dyDescent="0.25">
      <c r="A317" s="308">
        <v>42797</v>
      </c>
      <c r="B317" s="310">
        <v>1.0551999999999999</v>
      </c>
    </row>
    <row r="318" spans="1:2" x14ac:dyDescent="0.25">
      <c r="A318" s="308">
        <v>42800</v>
      </c>
      <c r="B318" s="310">
        <v>1.0586</v>
      </c>
    </row>
    <row r="319" spans="1:2" x14ac:dyDescent="0.25">
      <c r="A319" s="308">
        <v>42801</v>
      </c>
      <c r="B319" s="310">
        <v>1.0582</v>
      </c>
    </row>
    <row r="320" spans="1:2" x14ac:dyDescent="0.25">
      <c r="A320" s="308">
        <v>42802</v>
      </c>
      <c r="B320" s="310">
        <v>1.0547</v>
      </c>
    </row>
    <row r="321" spans="1:2" x14ac:dyDescent="0.25">
      <c r="A321" s="308">
        <v>42803</v>
      </c>
      <c r="B321" s="310">
        <v>1.0586</v>
      </c>
    </row>
    <row r="322" spans="1:2" x14ac:dyDescent="0.25">
      <c r="A322" s="308">
        <v>42804</v>
      </c>
      <c r="B322" s="310">
        <v>1.0667</v>
      </c>
    </row>
    <row r="323" spans="1:2" x14ac:dyDescent="0.25">
      <c r="A323" s="308">
        <v>42807</v>
      </c>
      <c r="B323" s="310">
        <v>1.0669999999999999</v>
      </c>
    </row>
    <row r="324" spans="1:2" x14ac:dyDescent="0.25">
      <c r="A324" s="308">
        <v>42808</v>
      </c>
      <c r="B324" s="310">
        <v>1.0645</v>
      </c>
    </row>
    <row r="325" spans="1:2" x14ac:dyDescent="0.25">
      <c r="A325" s="308">
        <v>42809</v>
      </c>
      <c r="B325" s="310">
        <v>1.0629999999999999</v>
      </c>
    </row>
    <row r="326" spans="1:2" x14ac:dyDescent="0.25">
      <c r="A326" s="308">
        <v>42810</v>
      </c>
      <c r="B326" s="310">
        <v>1.0738000000000001</v>
      </c>
    </row>
    <row r="327" spans="1:2" x14ac:dyDescent="0.25">
      <c r="A327" s="308">
        <v>42811</v>
      </c>
      <c r="B327" s="310">
        <v>1.0742</v>
      </c>
    </row>
    <row r="328" spans="1:2" x14ac:dyDescent="0.25">
      <c r="A328" s="308">
        <v>42814</v>
      </c>
      <c r="B328" s="310">
        <v>1.0753999999999999</v>
      </c>
    </row>
    <row r="329" spans="1:2" x14ac:dyDescent="0.25">
      <c r="A329" s="308">
        <v>42815</v>
      </c>
      <c r="B329" s="310">
        <v>1.081</v>
      </c>
    </row>
    <row r="330" spans="1:2" x14ac:dyDescent="0.25">
      <c r="A330" s="308">
        <v>42816</v>
      </c>
      <c r="B330" s="310">
        <v>1.08</v>
      </c>
    </row>
    <row r="331" spans="1:2" x14ac:dyDescent="0.25">
      <c r="A331" s="308">
        <v>42817</v>
      </c>
      <c r="B331" s="310">
        <v>1.0787</v>
      </c>
    </row>
    <row r="332" spans="1:2" x14ac:dyDescent="0.25">
      <c r="A332" s="308">
        <v>42818</v>
      </c>
      <c r="B332" s="310">
        <v>1.0806</v>
      </c>
    </row>
    <row r="333" spans="1:2" x14ac:dyDescent="0.25">
      <c r="A333" s="308">
        <v>42821</v>
      </c>
      <c r="B333" s="310">
        <v>1.0882000000000001</v>
      </c>
    </row>
    <row r="334" spans="1:2" x14ac:dyDescent="0.25">
      <c r="A334" s="308">
        <v>42822</v>
      </c>
      <c r="B334" s="310">
        <v>1.0851999999999999</v>
      </c>
    </row>
    <row r="335" spans="1:2" x14ac:dyDescent="0.25">
      <c r="A335" s="308">
        <v>42823</v>
      </c>
      <c r="B335" s="310">
        <v>1.0755999999999999</v>
      </c>
    </row>
    <row r="336" spans="1:2" x14ac:dyDescent="0.25">
      <c r="A336" s="308">
        <v>42824</v>
      </c>
      <c r="B336" s="310">
        <v>1.0726</v>
      </c>
    </row>
    <row r="337" spans="1:2" x14ac:dyDescent="0.25">
      <c r="A337" s="308">
        <v>42825</v>
      </c>
      <c r="B337" s="310">
        <v>1.0698000000000001</v>
      </c>
    </row>
    <row r="338" spans="1:2" x14ac:dyDescent="0.25">
      <c r="A338" s="308">
        <v>42828</v>
      </c>
      <c r="B338" s="310">
        <v>1.0654999999999999</v>
      </c>
    </row>
    <row r="339" spans="1:2" x14ac:dyDescent="0.25">
      <c r="A339" s="308">
        <v>42829</v>
      </c>
      <c r="B339" s="310">
        <v>1.0664</v>
      </c>
    </row>
    <row r="340" spans="1:2" x14ac:dyDescent="0.25">
      <c r="A340" s="308">
        <v>42830</v>
      </c>
      <c r="B340" s="310">
        <v>1.0661</v>
      </c>
    </row>
    <row r="341" spans="1:2" x14ac:dyDescent="0.25">
      <c r="A341" s="308">
        <v>42831</v>
      </c>
      <c r="B341" s="310">
        <v>1.0650999999999999</v>
      </c>
    </row>
    <row r="342" spans="1:2" x14ac:dyDescent="0.25">
      <c r="A342" s="308">
        <v>42832</v>
      </c>
      <c r="B342" s="310">
        <v>1.0616000000000001</v>
      </c>
    </row>
    <row r="343" spans="1:2" x14ac:dyDescent="0.25">
      <c r="A343" s="308">
        <v>42835</v>
      </c>
      <c r="B343" s="310">
        <v>1.0606</v>
      </c>
    </row>
    <row r="344" spans="1:2" x14ac:dyDescent="0.25">
      <c r="A344" s="308">
        <v>42836</v>
      </c>
      <c r="B344" s="310">
        <v>1.0613999999999999</v>
      </c>
    </row>
    <row r="345" spans="1:2" x14ac:dyDescent="0.25">
      <c r="A345" s="308">
        <v>42837</v>
      </c>
      <c r="B345" s="310">
        <v>1.0610999999999999</v>
      </c>
    </row>
    <row r="346" spans="1:2" x14ac:dyDescent="0.25">
      <c r="A346" s="308">
        <v>42838</v>
      </c>
      <c r="B346" s="310">
        <v>1.0629999999999999</v>
      </c>
    </row>
    <row r="347" spans="1:2" x14ac:dyDescent="0.25">
      <c r="A347" s="308">
        <v>42839</v>
      </c>
      <c r="B347" s="310">
        <v>1.0625</v>
      </c>
    </row>
    <row r="348" spans="1:2" x14ac:dyDescent="0.25">
      <c r="A348" s="308">
        <v>42842</v>
      </c>
      <c r="B348" s="310">
        <v>1.0660000000000001</v>
      </c>
    </row>
    <row r="349" spans="1:2" x14ac:dyDescent="0.25">
      <c r="A349" s="308">
        <v>42843</v>
      </c>
      <c r="B349" s="310">
        <v>1.0706</v>
      </c>
    </row>
    <row r="350" spans="1:2" x14ac:dyDescent="0.25">
      <c r="A350" s="308">
        <v>42844</v>
      </c>
      <c r="B350" s="310">
        <v>1.0707</v>
      </c>
    </row>
    <row r="351" spans="1:2" x14ac:dyDescent="0.25">
      <c r="A351" s="308">
        <v>42845</v>
      </c>
      <c r="B351" s="310">
        <v>1.0758000000000001</v>
      </c>
    </row>
    <row r="352" spans="1:2" x14ac:dyDescent="0.25">
      <c r="A352" s="308">
        <v>42846</v>
      </c>
      <c r="B352" s="310">
        <v>1.0693999999999999</v>
      </c>
    </row>
    <row r="353" spans="1:2" x14ac:dyDescent="0.25">
      <c r="A353" s="308">
        <v>42849</v>
      </c>
      <c r="B353" s="310">
        <v>1.0846</v>
      </c>
    </row>
    <row r="354" spans="1:2" x14ac:dyDescent="0.25">
      <c r="A354" s="308">
        <v>42850</v>
      </c>
      <c r="B354" s="310">
        <v>1.0941000000000001</v>
      </c>
    </row>
    <row r="355" spans="1:2" x14ac:dyDescent="0.25">
      <c r="A355" s="308">
        <v>42851</v>
      </c>
      <c r="B355" s="310">
        <v>1.0871999999999999</v>
      </c>
    </row>
    <row r="356" spans="1:2" x14ac:dyDescent="0.25">
      <c r="A356" s="308">
        <v>42852</v>
      </c>
      <c r="B356" s="310">
        <v>1.0864</v>
      </c>
    </row>
    <row r="357" spans="1:2" x14ac:dyDescent="0.25">
      <c r="A357" s="308">
        <v>42853</v>
      </c>
      <c r="B357" s="310">
        <v>1.0894999999999999</v>
      </c>
    </row>
    <row r="358" spans="1:2" x14ac:dyDescent="0.25">
      <c r="A358" s="308">
        <v>42856</v>
      </c>
      <c r="B358" s="310">
        <v>1.0911999999999999</v>
      </c>
    </row>
    <row r="359" spans="1:2" x14ac:dyDescent="0.25">
      <c r="A359" s="308">
        <v>42857</v>
      </c>
      <c r="B359" s="310">
        <v>1.091</v>
      </c>
    </row>
    <row r="360" spans="1:2" x14ac:dyDescent="0.25">
      <c r="A360" s="308">
        <v>42858</v>
      </c>
      <c r="B360" s="310">
        <v>1.0920000000000001</v>
      </c>
    </row>
    <row r="361" spans="1:2" x14ac:dyDescent="0.25">
      <c r="A361" s="308">
        <v>42859</v>
      </c>
      <c r="B361" s="310">
        <v>1.0967</v>
      </c>
    </row>
    <row r="362" spans="1:2" x14ac:dyDescent="0.25">
      <c r="A362" s="308">
        <v>42860</v>
      </c>
      <c r="B362" s="310">
        <v>1.0995999999999999</v>
      </c>
    </row>
    <row r="363" spans="1:2" x14ac:dyDescent="0.25">
      <c r="A363" s="308">
        <v>42863</v>
      </c>
      <c r="B363" s="310">
        <v>1.0928</v>
      </c>
    </row>
    <row r="364" spans="1:2" x14ac:dyDescent="0.25">
      <c r="A364" s="308">
        <v>42864</v>
      </c>
      <c r="B364" s="310">
        <v>1.0874999999999999</v>
      </c>
    </row>
    <row r="365" spans="1:2" x14ac:dyDescent="0.25">
      <c r="A365" s="308">
        <v>42865</v>
      </c>
      <c r="B365" s="310">
        <v>1.0872999999999999</v>
      </c>
    </row>
    <row r="366" spans="1:2" x14ac:dyDescent="0.25">
      <c r="A366" s="308">
        <v>42866</v>
      </c>
      <c r="B366" s="310">
        <v>1.0869</v>
      </c>
    </row>
    <row r="367" spans="1:2" x14ac:dyDescent="0.25">
      <c r="A367" s="308">
        <v>42867</v>
      </c>
      <c r="B367" s="310">
        <v>1.0926</v>
      </c>
    </row>
    <row r="368" spans="1:2" x14ac:dyDescent="0.25">
      <c r="A368" s="308">
        <v>42870</v>
      </c>
      <c r="B368" s="310">
        <v>1.0979000000000001</v>
      </c>
    </row>
    <row r="369" spans="1:2" x14ac:dyDescent="0.25">
      <c r="A369" s="308">
        <v>42871</v>
      </c>
      <c r="B369" s="310">
        <v>1.1072</v>
      </c>
    </row>
    <row r="370" spans="1:2" x14ac:dyDescent="0.25">
      <c r="A370" s="308">
        <v>42872</v>
      </c>
      <c r="B370" s="310">
        <v>1.1133999999999999</v>
      </c>
    </row>
    <row r="371" spans="1:2" x14ac:dyDescent="0.25">
      <c r="A371" s="308">
        <v>42873</v>
      </c>
      <c r="B371" s="310">
        <v>1.113</v>
      </c>
    </row>
    <row r="372" spans="1:2" x14ac:dyDescent="0.25">
      <c r="A372" s="308">
        <v>42874</v>
      </c>
      <c r="B372" s="310">
        <v>1.119</v>
      </c>
    </row>
    <row r="373" spans="1:2" x14ac:dyDescent="0.25">
      <c r="A373" s="308">
        <v>42877</v>
      </c>
      <c r="B373" s="310">
        <v>1.1235999999999999</v>
      </c>
    </row>
    <row r="374" spans="1:2" x14ac:dyDescent="0.25">
      <c r="A374" s="308">
        <v>42878</v>
      </c>
      <c r="B374" s="310">
        <v>1.1197999999999999</v>
      </c>
    </row>
    <row r="375" spans="1:2" x14ac:dyDescent="0.25">
      <c r="A375" s="308">
        <v>42879</v>
      </c>
      <c r="B375" s="310">
        <v>1.1174999999999999</v>
      </c>
    </row>
    <row r="376" spans="1:2" x14ac:dyDescent="0.25">
      <c r="A376" s="308">
        <v>42880</v>
      </c>
      <c r="B376" s="310">
        <v>1.1217999999999999</v>
      </c>
    </row>
    <row r="377" spans="1:2" x14ac:dyDescent="0.25">
      <c r="A377" s="308">
        <v>42881</v>
      </c>
      <c r="B377" s="310">
        <v>1.117</v>
      </c>
    </row>
    <row r="378" spans="1:2" x14ac:dyDescent="0.25">
      <c r="A378" s="308">
        <v>42884</v>
      </c>
      <c r="B378" s="309">
        <v>0</v>
      </c>
    </row>
    <row r="379" spans="1:2" x14ac:dyDescent="0.25">
      <c r="A379" s="308">
        <v>42885</v>
      </c>
      <c r="B379" s="310">
        <v>1.1183000000000001</v>
      </c>
    </row>
    <row r="380" spans="1:2" x14ac:dyDescent="0.25">
      <c r="A380" s="308">
        <v>42886</v>
      </c>
      <c r="B380" s="310">
        <v>1.1235999999999999</v>
      </c>
    </row>
    <row r="381" spans="1:2" x14ac:dyDescent="0.25">
      <c r="A381" s="308">
        <v>42887</v>
      </c>
      <c r="B381" s="310">
        <v>1.1214</v>
      </c>
    </row>
    <row r="382" spans="1:2" x14ac:dyDescent="0.25">
      <c r="A382" s="308">
        <v>42888</v>
      </c>
      <c r="B382" s="310">
        <v>1.127</v>
      </c>
    </row>
    <row r="383" spans="1:2" x14ac:dyDescent="0.25">
      <c r="A383" s="308">
        <v>42891</v>
      </c>
      <c r="B383" s="310">
        <v>1.125</v>
      </c>
    </row>
    <row r="384" spans="1:2" x14ac:dyDescent="0.25">
      <c r="A384" s="308">
        <v>42892</v>
      </c>
      <c r="B384" s="310">
        <v>1.1266</v>
      </c>
    </row>
    <row r="385" spans="1:2" x14ac:dyDescent="0.25">
      <c r="A385" s="308">
        <v>42893</v>
      </c>
      <c r="B385" s="310">
        <v>1.1235999999999999</v>
      </c>
    </row>
    <row r="386" spans="1:2" x14ac:dyDescent="0.25">
      <c r="A386" s="308">
        <v>42894</v>
      </c>
      <c r="B386" s="310">
        <v>1.1216999999999999</v>
      </c>
    </row>
    <row r="387" spans="1:2" x14ac:dyDescent="0.25">
      <c r="A387" s="308">
        <v>42895</v>
      </c>
      <c r="B387" s="310">
        <v>1.119</v>
      </c>
    </row>
    <row r="388" spans="1:2" x14ac:dyDescent="0.25">
      <c r="A388" s="308">
        <v>42898</v>
      </c>
      <c r="B388" s="310">
        <v>1.1204000000000001</v>
      </c>
    </row>
    <row r="389" spans="1:2" x14ac:dyDescent="0.25">
      <c r="A389" s="308">
        <v>42899</v>
      </c>
      <c r="B389" s="310">
        <v>1.1194</v>
      </c>
    </row>
    <row r="390" spans="1:2" x14ac:dyDescent="0.25">
      <c r="A390" s="308">
        <v>42900</v>
      </c>
      <c r="B390" s="310">
        <v>1.1276999999999999</v>
      </c>
    </row>
    <row r="391" spans="1:2" x14ac:dyDescent="0.25">
      <c r="A391" s="308">
        <v>42901</v>
      </c>
      <c r="B391" s="310">
        <v>1.1152</v>
      </c>
    </row>
    <row r="392" spans="1:2" x14ac:dyDescent="0.25">
      <c r="A392" s="308">
        <v>42902</v>
      </c>
      <c r="B392" s="310">
        <v>1.1194</v>
      </c>
    </row>
    <row r="393" spans="1:2" x14ac:dyDescent="0.25">
      <c r="A393" s="308">
        <v>42905</v>
      </c>
      <c r="B393" s="310">
        <v>1.1160000000000001</v>
      </c>
    </row>
    <row r="394" spans="1:2" x14ac:dyDescent="0.25">
      <c r="A394" s="308">
        <v>42906</v>
      </c>
      <c r="B394" s="310">
        <v>1.1124000000000001</v>
      </c>
    </row>
    <row r="395" spans="1:2" x14ac:dyDescent="0.25">
      <c r="A395" s="308">
        <v>42907</v>
      </c>
      <c r="B395" s="310">
        <v>1.1143000000000001</v>
      </c>
    </row>
    <row r="396" spans="1:2" x14ac:dyDescent="0.25">
      <c r="A396" s="308">
        <v>42908</v>
      </c>
      <c r="B396" s="310">
        <v>1.1148</v>
      </c>
    </row>
    <row r="397" spans="1:2" x14ac:dyDescent="0.25">
      <c r="A397" s="308">
        <v>42909</v>
      </c>
      <c r="B397" s="310">
        <v>1.1195999999999999</v>
      </c>
    </row>
    <row r="398" spans="1:2" x14ac:dyDescent="0.25">
      <c r="A398" s="308">
        <v>42912</v>
      </c>
      <c r="B398" s="310">
        <v>1.1195999999999999</v>
      </c>
    </row>
    <row r="399" spans="1:2" x14ac:dyDescent="0.25">
      <c r="A399" s="308">
        <v>42913</v>
      </c>
      <c r="B399" s="310">
        <v>1.1299999999999999</v>
      </c>
    </row>
    <row r="400" spans="1:2" x14ac:dyDescent="0.25">
      <c r="A400" s="308">
        <v>42914</v>
      </c>
      <c r="B400" s="310">
        <v>1.1364000000000001</v>
      </c>
    </row>
    <row r="401" spans="1:2" x14ac:dyDescent="0.25">
      <c r="A401" s="308">
        <v>42915</v>
      </c>
      <c r="B401" s="310">
        <v>1.1419999999999999</v>
      </c>
    </row>
    <row r="402" spans="1:2" x14ac:dyDescent="0.25">
      <c r="A402" s="308">
        <v>42916</v>
      </c>
      <c r="B402" s="310">
        <v>1.1411</v>
      </c>
    </row>
    <row r="403" spans="1:2" x14ac:dyDescent="0.25">
      <c r="A403" s="308">
        <v>42919</v>
      </c>
      <c r="B403" s="310">
        <v>1.1367</v>
      </c>
    </row>
    <row r="404" spans="1:2" x14ac:dyDescent="0.25">
      <c r="A404" s="308">
        <v>42920</v>
      </c>
      <c r="B404" s="309">
        <v>0</v>
      </c>
    </row>
    <row r="405" spans="1:2" x14ac:dyDescent="0.25">
      <c r="A405" s="308">
        <v>42921</v>
      </c>
      <c r="B405" s="310">
        <v>1.1335999999999999</v>
      </c>
    </row>
    <row r="406" spans="1:2" x14ac:dyDescent="0.25">
      <c r="A406" s="308">
        <v>42922</v>
      </c>
      <c r="B406" s="310">
        <v>1.1409</v>
      </c>
    </row>
    <row r="407" spans="1:2" x14ac:dyDescent="0.25">
      <c r="A407" s="308">
        <v>42923</v>
      </c>
      <c r="B407" s="310">
        <v>1.1395999999999999</v>
      </c>
    </row>
    <row r="408" spans="1:2" x14ac:dyDescent="0.25">
      <c r="A408" s="308">
        <v>42926</v>
      </c>
      <c r="B408" s="310">
        <v>1.1395999999999999</v>
      </c>
    </row>
    <row r="409" spans="1:2" x14ac:dyDescent="0.25">
      <c r="A409" s="308">
        <v>42927</v>
      </c>
      <c r="B409" s="310">
        <v>1.143</v>
      </c>
    </row>
    <row r="410" spans="1:2" x14ac:dyDescent="0.25">
      <c r="A410" s="308">
        <v>42928</v>
      </c>
      <c r="B410" s="310">
        <v>1.1411</v>
      </c>
    </row>
    <row r="411" spans="1:2" x14ac:dyDescent="0.25">
      <c r="A411" s="308">
        <v>42929</v>
      </c>
      <c r="B411" s="310">
        <v>1.1385000000000001</v>
      </c>
    </row>
    <row r="412" spans="1:2" x14ac:dyDescent="0.25">
      <c r="A412" s="308">
        <v>42930</v>
      </c>
      <c r="B412" s="310">
        <v>1.1452</v>
      </c>
    </row>
    <row r="413" spans="1:2" x14ac:dyDescent="0.25">
      <c r="A413" s="308">
        <v>42933</v>
      </c>
      <c r="B413" s="310">
        <v>1.147</v>
      </c>
    </row>
    <row r="414" spans="1:2" x14ac:dyDescent="0.25">
      <c r="A414" s="308">
        <v>42934</v>
      </c>
      <c r="B414" s="310">
        <v>1.1577999999999999</v>
      </c>
    </row>
    <row r="415" spans="1:2" x14ac:dyDescent="0.25">
      <c r="A415" s="308">
        <v>42935</v>
      </c>
      <c r="B415" s="310">
        <v>1.1517999999999999</v>
      </c>
    </row>
    <row r="416" spans="1:2" x14ac:dyDescent="0.25">
      <c r="A416" s="308">
        <v>42936</v>
      </c>
      <c r="B416" s="310">
        <v>1.1634</v>
      </c>
    </row>
    <row r="417" spans="1:2" x14ac:dyDescent="0.25">
      <c r="A417" s="308">
        <v>42937</v>
      </c>
      <c r="B417" s="310">
        <v>1.1655</v>
      </c>
    </row>
    <row r="418" spans="1:2" x14ac:dyDescent="0.25">
      <c r="A418" s="308">
        <v>42940</v>
      </c>
      <c r="B418" s="310">
        <v>1.1641999999999999</v>
      </c>
    </row>
    <row r="419" spans="1:2" x14ac:dyDescent="0.25">
      <c r="A419" s="308">
        <v>42941</v>
      </c>
      <c r="B419" s="310">
        <v>1.1656</v>
      </c>
    </row>
    <row r="420" spans="1:2" x14ac:dyDescent="0.25">
      <c r="A420" s="308">
        <v>42942</v>
      </c>
      <c r="B420" s="310">
        <v>1.1632</v>
      </c>
    </row>
    <row r="421" spans="1:2" x14ac:dyDescent="0.25">
      <c r="A421" s="308">
        <v>42943</v>
      </c>
      <c r="B421" s="310">
        <v>1.1656</v>
      </c>
    </row>
    <row r="422" spans="1:2" x14ac:dyDescent="0.25">
      <c r="A422" s="308">
        <v>42944</v>
      </c>
      <c r="B422" s="310">
        <v>1.1754</v>
      </c>
    </row>
    <row r="423" spans="1:2" x14ac:dyDescent="0.25">
      <c r="A423" s="308">
        <v>42947</v>
      </c>
      <c r="B423" s="310">
        <v>1.1826000000000001</v>
      </c>
    </row>
    <row r="424" spans="1:2" x14ac:dyDescent="0.25">
      <c r="A424" s="308">
        <v>42948</v>
      </c>
      <c r="B424" s="310">
        <v>1.1798999999999999</v>
      </c>
    </row>
    <row r="425" spans="1:2" x14ac:dyDescent="0.25">
      <c r="A425" s="308">
        <v>42949</v>
      </c>
      <c r="B425" s="310">
        <v>1.1860999999999999</v>
      </c>
    </row>
    <row r="426" spans="1:2" x14ac:dyDescent="0.25">
      <c r="A426" s="308">
        <v>42950</v>
      </c>
      <c r="B426" s="310">
        <v>1.1879999999999999</v>
      </c>
    </row>
    <row r="427" spans="1:2" x14ac:dyDescent="0.25">
      <c r="A427" s="308">
        <v>42951</v>
      </c>
      <c r="B427" s="310">
        <v>1.1754</v>
      </c>
    </row>
    <row r="428" spans="1:2" x14ac:dyDescent="0.25">
      <c r="A428" s="308">
        <v>42954</v>
      </c>
      <c r="B428" s="310">
        <v>1.1788000000000001</v>
      </c>
    </row>
    <row r="429" spans="1:2" x14ac:dyDescent="0.25">
      <c r="A429" s="308">
        <v>42955</v>
      </c>
      <c r="B429" s="310">
        <v>1.1724000000000001</v>
      </c>
    </row>
    <row r="430" spans="1:2" x14ac:dyDescent="0.25">
      <c r="A430" s="308">
        <v>42956</v>
      </c>
      <c r="B430" s="310">
        <v>1.1748000000000001</v>
      </c>
    </row>
    <row r="431" spans="1:2" x14ac:dyDescent="0.25">
      <c r="A431" s="308">
        <v>42957</v>
      </c>
      <c r="B431" s="310">
        <v>1.1751</v>
      </c>
    </row>
    <row r="432" spans="1:2" x14ac:dyDescent="0.25">
      <c r="A432" s="308">
        <v>42958</v>
      </c>
      <c r="B432" s="310">
        <v>1.1811</v>
      </c>
    </row>
    <row r="433" spans="1:2" x14ac:dyDescent="0.25">
      <c r="A433" s="308">
        <v>42961</v>
      </c>
      <c r="B433" s="310">
        <v>1.1786000000000001</v>
      </c>
    </row>
    <row r="434" spans="1:2" x14ac:dyDescent="0.25">
      <c r="A434" s="308">
        <v>42962</v>
      </c>
      <c r="B434" s="310">
        <v>1.1736</v>
      </c>
    </row>
    <row r="435" spans="1:2" x14ac:dyDescent="0.25">
      <c r="A435" s="308">
        <v>42963</v>
      </c>
      <c r="B435" s="310">
        <v>1.1702999999999999</v>
      </c>
    </row>
    <row r="436" spans="1:2" x14ac:dyDescent="0.25">
      <c r="A436" s="308">
        <v>42964</v>
      </c>
      <c r="B436" s="310">
        <v>1.1736</v>
      </c>
    </row>
    <row r="437" spans="1:2" x14ac:dyDescent="0.25">
      <c r="A437" s="308">
        <v>42965</v>
      </c>
      <c r="B437" s="310">
        <v>1.1748000000000001</v>
      </c>
    </row>
    <row r="438" spans="1:2" x14ac:dyDescent="0.25">
      <c r="A438" s="308">
        <v>42968</v>
      </c>
      <c r="B438" s="310">
        <v>1.1814</v>
      </c>
    </row>
    <row r="439" spans="1:2" x14ac:dyDescent="0.25">
      <c r="A439" s="308">
        <v>42969</v>
      </c>
      <c r="B439" s="310">
        <v>1.1761999999999999</v>
      </c>
    </row>
    <row r="440" spans="1:2" x14ac:dyDescent="0.25">
      <c r="A440" s="308">
        <v>42970</v>
      </c>
      <c r="B440" s="310">
        <v>1.1801999999999999</v>
      </c>
    </row>
    <row r="441" spans="1:2" x14ac:dyDescent="0.25">
      <c r="A441" s="308">
        <v>42971</v>
      </c>
      <c r="B441" s="310">
        <v>1.1800999999999999</v>
      </c>
    </row>
    <row r="442" spans="1:2" x14ac:dyDescent="0.25">
      <c r="A442" s="308">
        <v>42972</v>
      </c>
      <c r="B442" s="310">
        <v>1.1874</v>
      </c>
    </row>
    <row r="443" spans="1:2" x14ac:dyDescent="0.25">
      <c r="A443" s="308">
        <v>42975</v>
      </c>
      <c r="B443" s="310">
        <v>1.1973</v>
      </c>
    </row>
    <row r="444" spans="1:2" x14ac:dyDescent="0.25">
      <c r="A444" s="308">
        <v>42976</v>
      </c>
      <c r="B444" s="310">
        <v>1.2024999999999999</v>
      </c>
    </row>
    <row r="445" spans="1:2" x14ac:dyDescent="0.25">
      <c r="A445" s="308">
        <v>42977</v>
      </c>
      <c r="B445" s="310">
        <v>1.1927000000000001</v>
      </c>
    </row>
    <row r="446" spans="1:2" x14ac:dyDescent="0.25">
      <c r="A446" s="308">
        <v>42978</v>
      </c>
      <c r="B446" s="310">
        <v>1.1894</v>
      </c>
    </row>
    <row r="447" spans="1:2" x14ac:dyDescent="0.25">
      <c r="A447" s="308">
        <v>42979</v>
      </c>
      <c r="B447" s="310">
        <v>1.1878</v>
      </c>
    </row>
    <row r="448" spans="1:2" x14ac:dyDescent="0.25">
      <c r="A448" s="308">
        <v>42982</v>
      </c>
      <c r="B448" s="309">
        <v>0</v>
      </c>
    </row>
    <row r="449" spans="1:2" x14ac:dyDescent="0.25">
      <c r="A449" s="308">
        <v>42983</v>
      </c>
      <c r="B449" s="310">
        <v>1.1911</v>
      </c>
    </row>
    <row r="450" spans="1:2" x14ac:dyDescent="0.25">
      <c r="A450" s="308">
        <v>42984</v>
      </c>
      <c r="B450" s="310">
        <v>1.1942999999999999</v>
      </c>
    </row>
    <row r="451" spans="1:2" x14ac:dyDescent="0.25">
      <c r="A451" s="308">
        <v>42985</v>
      </c>
      <c r="B451" s="310">
        <v>1.2028000000000001</v>
      </c>
    </row>
    <row r="452" spans="1:2" x14ac:dyDescent="0.25">
      <c r="A452" s="308">
        <v>42986</v>
      </c>
      <c r="B452" s="310">
        <v>1.2040999999999999</v>
      </c>
    </row>
    <row r="453" spans="1:2" x14ac:dyDescent="0.25">
      <c r="A453" s="308">
        <v>42989</v>
      </c>
      <c r="B453" s="310">
        <v>1.1963999999999999</v>
      </c>
    </row>
    <row r="454" spans="1:2" x14ac:dyDescent="0.25">
      <c r="A454" s="308">
        <v>42990</v>
      </c>
      <c r="B454" s="310">
        <v>1.1968000000000001</v>
      </c>
    </row>
    <row r="455" spans="1:2" x14ac:dyDescent="0.25">
      <c r="A455" s="308">
        <v>42991</v>
      </c>
      <c r="B455" s="310">
        <v>1.1898</v>
      </c>
    </row>
    <row r="456" spans="1:2" x14ac:dyDescent="0.25">
      <c r="A456" s="308">
        <v>42992</v>
      </c>
      <c r="B456" s="310">
        <v>1.1886000000000001</v>
      </c>
    </row>
    <row r="457" spans="1:2" x14ac:dyDescent="0.25">
      <c r="A457" s="308">
        <v>42993</v>
      </c>
      <c r="B457" s="310">
        <v>1.1959</v>
      </c>
    </row>
    <row r="458" spans="1:2" x14ac:dyDescent="0.25">
      <c r="A458" s="308">
        <v>42996</v>
      </c>
      <c r="B458" s="310">
        <v>1.1938</v>
      </c>
    </row>
    <row r="459" spans="1:2" x14ac:dyDescent="0.25">
      <c r="A459" s="308">
        <v>42997</v>
      </c>
      <c r="B459" s="310">
        <v>1.198</v>
      </c>
    </row>
    <row r="460" spans="1:2" x14ac:dyDescent="0.25">
      <c r="A460" s="308">
        <v>42998</v>
      </c>
      <c r="B460" s="310">
        <v>1.1998</v>
      </c>
    </row>
    <row r="461" spans="1:2" x14ac:dyDescent="0.25">
      <c r="A461" s="308">
        <v>42999</v>
      </c>
      <c r="B461" s="310">
        <v>1.1946000000000001</v>
      </c>
    </row>
    <row r="462" spans="1:2" x14ac:dyDescent="0.25">
      <c r="A462" s="308">
        <v>43000</v>
      </c>
      <c r="B462" s="310">
        <v>1.1969000000000001</v>
      </c>
    </row>
    <row r="463" spans="1:2" x14ac:dyDescent="0.25">
      <c r="A463" s="308">
        <v>43003</v>
      </c>
      <c r="B463" s="310">
        <v>1.1852</v>
      </c>
    </row>
    <row r="464" spans="1:2" x14ac:dyDescent="0.25">
      <c r="A464" s="308">
        <v>43004</v>
      </c>
      <c r="B464" s="310">
        <v>1.1772</v>
      </c>
    </row>
    <row r="465" spans="1:2" x14ac:dyDescent="0.25">
      <c r="A465" s="308">
        <v>43005</v>
      </c>
      <c r="B465" s="310">
        <v>1.1747000000000001</v>
      </c>
    </row>
    <row r="466" spans="1:2" x14ac:dyDescent="0.25">
      <c r="A466" s="308">
        <v>43006</v>
      </c>
      <c r="B466" s="310">
        <v>1.1776</v>
      </c>
    </row>
    <row r="467" spans="1:2" x14ac:dyDescent="0.25">
      <c r="A467" s="308">
        <v>43007</v>
      </c>
      <c r="B467" s="310">
        <v>1.1813</v>
      </c>
    </row>
    <row r="468" spans="1:2" x14ac:dyDescent="0.25">
      <c r="A468" s="308">
        <v>43010</v>
      </c>
      <c r="B468" s="310">
        <v>1.1745000000000001</v>
      </c>
    </row>
    <row r="469" spans="1:2" x14ac:dyDescent="0.25">
      <c r="A469" s="308">
        <v>43011</v>
      </c>
      <c r="B469" s="310">
        <v>1.1758999999999999</v>
      </c>
    </row>
    <row r="470" spans="1:2" x14ac:dyDescent="0.25">
      <c r="A470" s="308">
        <v>43012</v>
      </c>
      <c r="B470" s="310">
        <v>1.1759999999999999</v>
      </c>
    </row>
    <row r="471" spans="1:2" x14ac:dyDescent="0.25">
      <c r="A471" s="308">
        <v>43013</v>
      </c>
      <c r="B471" s="310">
        <v>1.1706000000000001</v>
      </c>
    </row>
    <row r="472" spans="1:2" x14ac:dyDescent="0.25">
      <c r="A472" s="308">
        <v>43014</v>
      </c>
      <c r="B472" s="310">
        <v>1.1732</v>
      </c>
    </row>
    <row r="473" spans="1:2" x14ac:dyDescent="0.25">
      <c r="A473" s="308">
        <v>43017</v>
      </c>
      <c r="B473" s="309">
        <v>0</v>
      </c>
    </row>
    <row r="474" spans="1:2" x14ac:dyDescent="0.25">
      <c r="A474" s="308">
        <v>43018</v>
      </c>
      <c r="B474" s="310">
        <v>1.1803999999999999</v>
      </c>
    </row>
    <row r="475" spans="1:2" x14ac:dyDescent="0.25">
      <c r="A475" s="308">
        <v>43019</v>
      </c>
      <c r="B475" s="310">
        <v>1.1847000000000001</v>
      </c>
    </row>
    <row r="476" spans="1:2" x14ac:dyDescent="0.25">
      <c r="A476" s="308">
        <v>43020</v>
      </c>
      <c r="B476" s="310">
        <v>1.1839999999999999</v>
      </c>
    </row>
    <row r="477" spans="1:2" x14ac:dyDescent="0.25">
      <c r="A477" s="308">
        <v>43021</v>
      </c>
      <c r="B477" s="310">
        <v>1.1837</v>
      </c>
    </row>
    <row r="478" spans="1:2" x14ac:dyDescent="0.25">
      <c r="A478" s="308">
        <v>43024</v>
      </c>
      <c r="B478" s="310">
        <v>1.181</v>
      </c>
    </row>
    <row r="479" spans="1:2" x14ac:dyDescent="0.25">
      <c r="A479" s="308">
        <v>43025</v>
      </c>
      <c r="B479" s="310">
        <v>1.1754</v>
      </c>
    </row>
    <row r="480" spans="1:2" x14ac:dyDescent="0.25">
      <c r="A480" s="308">
        <v>43026</v>
      </c>
      <c r="B480" s="310">
        <v>1.1775</v>
      </c>
    </row>
    <row r="481" spans="1:2" x14ac:dyDescent="0.25">
      <c r="A481" s="308">
        <v>43027</v>
      </c>
      <c r="B481" s="310">
        <v>1.1841999999999999</v>
      </c>
    </row>
    <row r="482" spans="1:2" x14ac:dyDescent="0.25">
      <c r="A482" s="308">
        <v>43028</v>
      </c>
      <c r="B482" s="310">
        <v>1.177</v>
      </c>
    </row>
    <row r="483" spans="1:2" x14ac:dyDescent="0.25">
      <c r="A483" s="308">
        <v>43031</v>
      </c>
      <c r="B483" s="310">
        <v>1.1761999999999999</v>
      </c>
    </row>
    <row r="484" spans="1:2" x14ac:dyDescent="0.25">
      <c r="A484" s="308">
        <v>43032</v>
      </c>
      <c r="B484" s="310">
        <v>1.1766000000000001</v>
      </c>
    </row>
    <row r="485" spans="1:2" x14ac:dyDescent="0.25">
      <c r="A485" s="308">
        <v>43033</v>
      </c>
      <c r="B485" s="310">
        <v>1.1801999999999999</v>
      </c>
    </row>
    <row r="486" spans="1:2" x14ac:dyDescent="0.25">
      <c r="A486" s="308">
        <v>43034</v>
      </c>
      <c r="B486" s="310">
        <v>1.17</v>
      </c>
    </row>
    <row r="487" spans="1:2" x14ac:dyDescent="0.25">
      <c r="A487" s="308">
        <v>43035</v>
      </c>
      <c r="B487" s="310">
        <v>1.1579999999999999</v>
      </c>
    </row>
    <row r="488" spans="1:2" x14ac:dyDescent="0.25">
      <c r="A488" s="308">
        <v>43038</v>
      </c>
      <c r="B488" s="310">
        <v>1.1626000000000001</v>
      </c>
    </row>
    <row r="489" spans="1:2" x14ac:dyDescent="0.25">
      <c r="A489" s="308">
        <v>43039</v>
      </c>
      <c r="B489" s="310">
        <v>1.1648000000000001</v>
      </c>
    </row>
    <row r="490" spans="1:2" x14ac:dyDescent="0.25">
      <c r="A490" s="308">
        <v>43040</v>
      </c>
      <c r="B490" s="310">
        <v>1.1617999999999999</v>
      </c>
    </row>
    <row r="491" spans="1:2" x14ac:dyDescent="0.25">
      <c r="A491" s="308">
        <v>43041</v>
      </c>
      <c r="B491" s="310">
        <v>1.1672</v>
      </c>
    </row>
    <row r="492" spans="1:2" x14ac:dyDescent="0.25">
      <c r="A492" s="308">
        <v>43042</v>
      </c>
      <c r="B492" s="310">
        <v>1.1616</v>
      </c>
    </row>
    <row r="493" spans="1:2" x14ac:dyDescent="0.25">
      <c r="A493" s="308">
        <v>43045</v>
      </c>
      <c r="B493" s="310">
        <v>1.1599999999999999</v>
      </c>
    </row>
    <row r="494" spans="1:2" x14ac:dyDescent="0.25">
      <c r="A494" s="308">
        <v>43046</v>
      </c>
      <c r="B494" s="310">
        <v>1.1577</v>
      </c>
    </row>
    <row r="495" spans="1:2" x14ac:dyDescent="0.25">
      <c r="A495" s="308">
        <v>43047</v>
      </c>
      <c r="B495" s="310">
        <v>1.1591</v>
      </c>
    </row>
    <row r="496" spans="1:2" x14ac:dyDescent="0.25">
      <c r="A496" s="308">
        <v>43048</v>
      </c>
      <c r="B496" s="310">
        <v>1.1648000000000001</v>
      </c>
    </row>
    <row r="497" spans="1:2" x14ac:dyDescent="0.25">
      <c r="A497" s="308">
        <v>43049</v>
      </c>
      <c r="B497" s="309">
        <v>0</v>
      </c>
    </row>
    <row r="498" spans="1:2" x14ac:dyDescent="0.25">
      <c r="A498" s="308">
        <v>43052</v>
      </c>
      <c r="B498" s="310">
        <v>1.1656</v>
      </c>
    </row>
    <row r="499" spans="1:2" x14ac:dyDescent="0.25">
      <c r="A499" s="308">
        <v>43053</v>
      </c>
      <c r="B499" s="310">
        <v>1.1763999999999999</v>
      </c>
    </row>
    <row r="500" spans="1:2" x14ac:dyDescent="0.25">
      <c r="A500" s="308">
        <v>43054</v>
      </c>
      <c r="B500" s="310">
        <v>1.1794</v>
      </c>
    </row>
    <row r="501" spans="1:2" x14ac:dyDescent="0.25">
      <c r="A501" s="308">
        <v>43055</v>
      </c>
      <c r="B501" s="310">
        <v>1.1772</v>
      </c>
    </row>
    <row r="502" spans="1:2" x14ac:dyDescent="0.25">
      <c r="A502" s="308">
        <v>43056</v>
      </c>
      <c r="B502" s="310">
        <v>1.1798999999999999</v>
      </c>
    </row>
    <row r="503" spans="1:2" x14ac:dyDescent="0.25">
      <c r="A503" s="308">
        <v>43059</v>
      </c>
      <c r="B503" s="310">
        <v>1.1740999999999999</v>
      </c>
    </row>
    <row r="504" spans="1:2" x14ac:dyDescent="0.25">
      <c r="A504" s="308">
        <v>43060</v>
      </c>
      <c r="B504" s="310">
        <v>1.1740999999999999</v>
      </c>
    </row>
    <row r="505" spans="1:2" x14ac:dyDescent="0.25">
      <c r="A505" s="308">
        <v>43061</v>
      </c>
      <c r="B505" s="310">
        <v>1.1789000000000001</v>
      </c>
    </row>
    <row r="506" spans="1:2" x14ac:dyDescent="0.25">
      <c r="A506" s="308">
        <v>43062</v>
      </c>
      <c r="B506" s="309">
        <v>0</v>
      </c>
    </row>
    <row r="507" spans="1:2" x14ac:dyDescent="0.25">
      <c r="A507" s="308">
        <v>43063</v>
      </c>
      <c r="B507" s="310">
        <v>1.1936</v>
      </c>
    </row>
    <row r="508" spans="1:2" x14ac:dyDescent="0.25">
      <c r="A508" s="308">
        <v>43066</v>
      </c>
      <c r="B508" s="310">
        <v>1.1911</v>
      </c>
    </row>
    <row r="509" spans="1:2" x14ac:dyDescent="0.25">
      <c r="A509" s="308">
        <v>43067</v>
      </c>
      <c r="B509" s="310">
        <v>1.1878</v>
      </c>
    </row>
    <row r="510" spans="1:2" x14ac:dyDescent="0.25">
      <c r="A510" s="308">
        <v>43068</v>
      </c>
      <c r="B510" s="310">
        <v>1.1858</v>
      </c>
    </row>
    <row r="511" spans="1:2" x14ac:dyDescent="0.25">
      <c r="A511" s="308">
        <v>43069</v>
      </c>
      <c r="B511" s="310">
        <v>1.1898</v>
      </c>
    </row>
    <row r="512" spans="1:2" x14ac:dyDescent="0.25">
      <c r="A512" s="308">
        <v>43070</v>
      </c>
      <c r="B512" s="310">
        <v>1.1910000000000001</v>
      </c>
    </row>
    <row r="513" spans="1:2" x14ac:dyDescent="0.25">
      <c r="A513" s="308">
        <v>43073</v>
      </c>
      <c r="B513" s="310">
        <v>1.1848000000000001</v>
      </c>
    </row>
    <row r="514" spans="1:2" x14ac:dyDescent="0.25">
      <c r="A514" s="308">
        <v>43074</v>
      </c>
      <c r="B514" s="310">
        <v>1.1819999999999999</v>
      </c>
    </row>
    <row r="515" spans="1:2" x14ac:dyDescent="0.25">
      <c r="A515" s="308">
        <v>43075</v>
      </c>
      <c r="B515" s="310">
        <v>1.1788000000000001</v>
      </c>
    </row>
    <row r="516" spans="1:2" x14ac:dyDescent="0.25">
      <c r="A516" s="308">
        <v>43076</v>
      </c>
      <c r="B516" s="310">
        <v>1.179</v>
      </c>
    </row>
    <row r="517" spans="1:2" x14ac:dyDescent="0.25">
      <c r="A517" s="308">
        <v>43077</v>
      </c>
      <c r="B517" s="310">
        <v>1.1760999999999999</v>
      </c>
    </row>
    <row r="518" spans="1:2" x14ac:dyDescent="0.25">
      <c r="A518" s="308">
        <v>43080</v>
      </c>
      <c r="B518" s="310">
        <v>1.1801999999999999</v>
      </c>
    </row>
    <row r="519" spans="1:2" x14ac:dyDescent="0.25">
      <c r="A519" s="308">
        <v>43081</v>
      </c>
      <c r="B519" s="310">
        <v>1.1725000000000001</v>
      </c>
    </row>
    <row r="520" spans="1:2" x14ac:dyDescent="0.25">
      <c r="A520" s="308">
        <v>43082</v>
      </c>
      <c r="B520" s="310">
        <v>1.1761999999999999</v>
      </c>
    </row>
    <row r="521" spans="1:2" x14ac:dyDescent="0.25">
      <c r="A521" s="308">
        <v>43083</v>
      </c>
      <c r="B521" s="310">
        <v>1.1778</v>
      </c>
    </row>
    <row r="522" spans="1:2" x14ac:dyDescent="0.25">
      <c r="A522" s="308">
        <v>43084</v>
      </c>
      <c r="B522" s="310">
        <v>1.1778</v>
      </c>
    </row>
    <row r="523" spans="1:2" x14ac:dyDescent="0.25">
      <c r="A523" s="308">
        <v>43087</v>
      </c>
      <c r="B523" s="310">
        <v>1.1803999999999999</v>
      </c>
    </row>
    <row r="524" spans="1:2" x14ac:dyDescent="0.25">
      <c r="A524" s="308">
        <v>43088</v>
      </c>
      <c r="B524" s="310">
        <v>1.1821999999999999</v>
      </c>
    </row>
    <row r="525" spans="1:2" x14ac:dyDescent="0.25">
      <c r="A525" s="308">
        <v>43089</v>
      </c>
      <c r="B525" s="310">
        <v>1.1880999999999999</v>
      </c>
    </row>
    <row r="526" spans="1:2" x14ac:dyDescent="0.25">
      <c r="A526" s="308">
        <v>43090</v>
      </c>
      <c r="B526" s="310">
        <v>1.1872</v>
      </c>
    </row>
    <row r="527" spans="1:2" x14ac:dyDescent="0.25">
      <c r="A527" s="308">
        <v>43091</v>
      </c>
      <c r="B527" s="310">
        <v>1.1839</v>
      </c>
    </row>
    <row r="528" spans="1:2" x14ac:dyDescent="0.25">
      <c r="A528" s="308">
        <v>43094</v>
      </c>
      <c r="B528" s="309">
        <v>0</v>
      </c>
    </row>
    <row r="529" spans="1:2" x14ac:dyDescent="0.25">
      <c r="A529" s="308">
        <v>43095</v>
      </c>
      <c r="B529" s="310">
        <v>1.1867000000000001</v>
      </c>
    </row>
    <row r="530" spans="1:2" x14ac:dyDescent="0.25">
      <c r="A530" s="308">
        <v>43096</v>
      </c>
      <c r="B530" s="310">
        <v>1.1901999999999999</v>
      </c>
    </row>
    <row r="531" spans="1:2" x14ac:dyDescent="0.25">
      <c r="A531" s="308">
        <v>43097</v>
      </c>
      <c r="B531" s="310">
        <v>1.1952</v>
      </c>
    </row>
    <row r="532" spans="1:2" x14ac:dyDescent="0.25">
      <c r="A532" s="308">
        <v>43098</v>
      </c>
      <c r="B532" s="310">
        <v>1.2021999999999999</v>
      </c>
    </row>
    <row r="533" spans="1:2" x14ac:dyDescent="0.25">
      <c r="A533" s="308">
        <v>43101</v>
      </c>
      <c r="B533" s="309">
        <v>0</v>
      </c>
    </row>
    <row r="534" spans="1:2" x14ac:dyDescent="0.25">
      <c r="A534" s="308">
        <v>43102</v>
      </c>
      <c r="B534" s="310">
        <v>1.2050000000000001</v>
      </c>
    </row>
    <row r="535" spans="1:2" x14ac:dyDescent="0.25">
      <c r="A535" s="308">
        <v>43103</v>
      </c>
      <c r="B535" s="310">
        <v>1.2030000000000001</v>
      </c>
    </row>
    <row r="536" spans="1:2" x14ac:dyDescent="0.25">
      <c r="A536" s="308">
        <v>43104</v>
      </c>
      <c r="B536" s="310">
        <v>1.2063999999999999</v>
      </c>
    </row>
    <row r="537" spans="1:2" x14ac:dyDescent="0.25">
      <c r="A537" s="308">
        <v>43105</v>
      </c>
      <c r="B537" s="310">
        <v>1.2039</v>
      </c>
    </row>
    <row r="538" spans="1:2" x14ac:dyDescent="0.25">
      <c r="A538" s="308">
        <v>43108</v>
      </c>
      <c r="B538" s="310">
        <v>1.1973</v>
      </c>
    </row>
    <row r="539" spans="1:2" x14ac:dyDescent="0.25">
      <c r="A539" s="308">
        <v>43109</v>
      </c>
      <c r="B539" s="310">
        <v>1.1921999999999999</v>
      </c>
    </row>
    <row r="540" spans="1:2" x14ac:dyDescent="0.25">
      <c r="A540" s="308">
        <v>43110</v>
      </c>
      <c r="B540" s="310">
        <v>1.1958</v>
      </c>
    </row>
    <row r="541" spans="1:2" x14ac:dyDescent="0.25">
      <c r="A541" s="308">
        <v>43111</v>
      </c>
      <c r="B541" s="310">
        <v>1.2035</v>
      </c>
    </row>
    <row r="542" spans="1:2" x14ac:dyDescent="0.25">
      <c r="A542" s="308">
        <v>43112</v>
      </c>
      <c r="B542" s="310">
        <v>1.2130000000000001</v>
      </c>
    </row>
    <row r="543" spans="1:2" x14ac:dyDescent="0.25">
      <c r="A543" s="308">
        <v>43115</v>
      </c>
      <c r="B543" s="309">
        <v>0</v>
      </c>
    </row>
    <row r="544" spans="1:2" x14ac:dyDescent="0.25">
      <c r="A544" s="308">
        <v>43116</v>
      </c>
      <c r="B544" s="310">
        <v>1.2243999999999999</v>
      </c>
    </row>
    <row r="545" spans="1:2" x14ac:dyDescent="0.25">
      <c r="A545" s="308">
        <v>43117</v>
      </c>
      <c r="B545" s="310">
        <v>1.2229000000000001</v>
      </c>
    </row>
    <row r="546" spans="1:2" x14ac:dyDescent="0.25">
      <c r="A546" s="308">
        <v>43118</v>
      </c>
      <c r="B546" s="310">
        <v>1.2238</v>
      </c>
    </row>
    <row r="547" spans="1:2" x14ac:dyDescent="0.25">
      <c r="A547" s="308">
        <v>43119</v>
      </c>
      <c r="B547" s="310">
        <v>1.2238</v>
      </c>
    </row>
    <row r="548" spans="1:2" x14ac:dyDescent="0.25">
      <c r="A548" s="308">
        <v>43122</v>
      </c>
      <c r="B548" s="310">
        <v>1.2230000000000001</v>
      </c>
    </row>
    <row r="549" spans="1:2" x14ac:dyDescent="0.25">
      <c r="A549" s="308">
        <v>43123</v>
      </c>
      <c r="B549" s="310">
        <v>1.2277</v>
      </c>
    </row>
    <row r="550" spans="1:2" x14ac:dyDescent="0.25">
      <c r="A550" s="308">
        <v>43124</v>
      </c>
      <c r="B550" s="310">
        <v>1.2390000000000001</v>
      </c>
    </row>
    <row r="551" spans="1:2" x14ac:dyDescent="0.25">
      <c r="A551" s="308">
        <v>43125</v>
      </c>
      <c r="B551" s="310">
        <v>1.2487999999999999</v>
      </c>
    </row>
    <row r="552" spans="1:2" x14ac:dyDescent="0.25">
      <c r="A552" s="308">
        <v>43126</v>
      </c>
      <c r="B552" s="310">
        <v>1.2422</v>
      </c>
    </row>
    <row r="553" spans="1:2" x14ac:dyDescent="0.25">
      <c r="A553" s="308">
        <v>43129</v>
      </c>
      <c r="B553" s="310">
        <v>1.2352000000000001</v>
      </c>
    </row>
    <row r="554" spans="1:2" x14ac:dyDescent="0.25">
      <c r="A554" s="308">
        <v>43130</v>
      </c>
      <c r="B554" s="310">
        <v>1.2390000000000001</v>
      </c>
    </row>
    <row r="555" spans="1:2" x14ac:dyDescent="0.25">
      <c r="A555" s="308">
        <v>43131</v>
      </c>
      <c r="B555" s="310">
        <v>1.2427999999999999</v>
      </c>
    </row>
    <row r="556" spans="1:2" x14ac:dyDescent="0.25">
      <c r="A556" s="308">
        <v>43132</v>
      </c>
      <c r="B556" s="310">
        <v>1.2482</v>
      </c>
    </row>
    <row r="557" spans="1:2" x14ac:dyDescent="0.25">
      <c r="A557" s="308">
        <v>43133</v>
      </c>
      <c r="B557" s="310">
        <v>1.2445999999999999</v>
      </c>
    </row>
    <row r="558" spans="1:2" x14ac:dyDescent="0.25">
      <c r="A558" s="308">
        <v>43136</v>
      </c>
      <c r="B558" s="310">
        <v>1.2418</v>
      </c>
    </row>
    <row r="559" spans="1:2" x14ac:dyDescent="0.25">
      <c r="A559" s="308">
        <v>43137</v>
      </c>
      <c r="B559" s="310">
        <v>1.2381</v>
      </c>
    </row>
    <row r="560" spans="1:2" x14ac:dyDescent="0.25">
      <c r="A560" s="308">
        <v>43138</v>
      </c>
      <c r="B560" s="310">
        <v>1.2281</v>
      </c>
    </row>
    <row r="561" spans="1:2" x14ac:dyDescent="0.25">
      <c r="A561" s="308">
        <v>43139</v>
      </c>
      <c r="B561" s="310">
        <v>1.2238</v>
      </c>
    </row>
    <row r="562" spans="1:2" x14ac:dyDescent="0.25">
      <c r="A562" s="308">
        <v>43140</v>
      </c>
      <c r="B562" s="310">
        <v>1.2225999999999999</v>
      </c>
    </row>
    <row r="563" spans="1:2" x14ac:dyDescent="0.25">
      <c r="A563" s="308">
        <v>43143</v>
      </c>
      <c r="B563" s="310">
        <v>1.2266999999999999</v>
      </c>
    </row>
    <row r="564" spans="1:2" x14ac:dyDescent="0.25">
      <c r="A564" s="308">
        <v>43144</v>
      </c>
      <c r="B564" s="310">
        <v>1.2363</v>
      </c>
    </row>
    <row r="565" spans="1:2" x14ac:dyDescent="0.25">
      <c r="A565" s="308">
        <v>43145</v>
      </c>
      <c r="B565" s="310">
        <v>1.2396</v>
      </c>
    </row>
    <row r="566" spans="1:2" x14ac:dyDescent="0.25">
      <c r="A566" s="308">
        <v>43146</v>
      </c>
      <c r="B566" s="310">
        <v>1.2482</v>
      </c>
    </row>
    <row r="567" spans="1:2" x14ac:dyDescent="0.25">
      <c r="A567" s="308">
        <v>43147</v>
      </c>
      <c r="B567" s="310">
        <v>1.2442</v>
      </c>
    </row>
    <row r="568" spans="1:2" x14ac:dyDescent="0.25">
      <c r="A568" s="308">
        <v>43150</v>
      </c>
      <c r="B568" s="309">
        <v>0</v>
      </c>
    </row>
    <row r="569" spans="1:2" x14ac:dyDescent="0.25">
      <c r="A569" s="308">
        <v>43151</v>
      </c>
      <c r="B569" s="310">
        <v>1.2347999999999999</v>
      </c>
    </row>
    <row r="570" spans="1:2" x14ac:dyDescent="0.25">
      <c r="A570" s="308">
        <v>43152</v>
      </c>
      <c r="B570" s="310">
        <v>1.2314000000000001</v>
      </c>
    </row>
    <row r="571" spans="1:2" x14ac:dyDescent="0.25">
      <c r="A571" s="308">
        <v>43153</v>
      </c>
      <c r="B571" s="310">
        <v>1.2325999999999999</v>
      </c>
    </row>
    <row r="572" spans="1:2" x14ac:dyDescent="0.25">
      <c r="A572" s="308">
        <v>43154</v>
      </c>
      <c r="B572" s="310">
        <v>1.2298</v>
      </c>
    </row>
    <row r="573" spans="1:2" x14ac:dyDescent="0.25">
      <c r="A573" s="308">
        <v>43157</v>
      </c>
      <c r="B573" s="310">
        <v>1.2296</v>
      </c>
    </row>
    <row r="574" spans="1:2" x14ac:dyDescent="0.25">
      <c r="A574" s="308">
        <v>43158</v>
      </c>
      <c r="B574" s="310">
        <v>1.2239</v>
      </c>
    </row>
    <row r="575" spans="1:2" x14ac:dyDescent="0.25">
      <c r="A575" s="308">
        <v>43159</v>
      </c>
      <c r="B575" s="310">
        <v>1.2211000000000001</v>
      </c>
    </row>
    <row r="576" spans="1:2" x14ac:dyDescent="0.25">
      <c r="A576" s="308">
        <v>43160</v>
      </c>
      <c r="B576" s="310">
        <v>1.2216</v>
      </c>
    </row>
    <row r="577" spans="1:2" x14ac:dyDescent="0.25">
      <c r="A577" s="308">
        <v>43161</v>
      </c>
      <c r="B577" s="310">
        <v>1.2314000000000001</v>
      </c>
    </row>
    <row r="578" spans="1:2" x14ac:dyDescent="0.25">
      <c r="A578" s="308">
        <v>43164</v>
      </c>
      <c r="B578" s="310">
        <v>1.2330000000000001</v>
      </c>
    </row>
    <row r="579" spans="1:2" x14ac:dyDescent="0.25">
      <c r="A579" s="308">
        <v>43165</v>
      </c>
      <c r="B579" s="310">
        <v>1.2415</v>
      </c>
    </row>
    <row r="580" spans="1:2" x14ac:dyDescent="0.25">
      <c r="A580" s="308">
        <v>43166</v>
      </c>
      <c r="B580" s="310">
        <v>1.2397</v>
      </c>
    </row>
    <row r="581" spans="1:2" x14ac:dyDescent="0.25">
      <c r="A581" s="308">
        <v>43167</v>
      </c>
      <c r="B581" s="310">
        <v>1.2314000000000001</v>
      </c>
    </row>
    <row r="582" spans="1:2" x14ac:dyDescent="0.25">
      <c r="A582" s="308">
        <v>43168</v>
      </c>
      <c r="B582" s="310">
        <v>1.2325999999999999</v>
      </c>
    </row>
    <row r="583" spans="1:2" x14ac:dyDescent="0.25">
      <c r="A583" s="308">
        <v>43171</v>
      </c>
      <c r="B583" s="310">
        <v>1.2318</v>
      </c>
    </row>
    <row r="584" spans="1:2" x14ac:dyDescent="0.25">
      <c r="A584" s="308">
        <v>43172</v>
      </c>
      <c r="B584" s="310">
        <v>1.2398</v>
      </c>
    </row>
    <row r="585" spans="1:2" x14ac:dyDescent="0.25">
      <c r="A585" s="308">
        <v>43173</v>
      </c>
      <c r="B585" s="310">
        <v>1.2362</v>
      </c>
    </row>
    <row r="586" spans="1:2" x14ac:dyDescent="0.25">
      <c r="A586" s="308">
        <v>43174</v>
      </c>
      <c r="B586" s="310">
        <v>1.2321</v>
      </c>
    </row>
    <row r="587" spans="1:2" x14ac:dyDescent="0.25">
      <c r="A587" s="308">
        <v>43175</v>
      </c>
      <c r="B587" s="310">
        <v>1.228</v>
      </c>
    </row>
    <row r="588" spans="1:2" x14ac:dyDescent="0.25">
      <c r="A588" s="308">
        <v>43178</v>
      </c>
      <c r="B588" s="310">
        <v>1.2329000000000001</v>
      </c>
    </row>
    <row r="589" spans="1:2" x14ac:dyDescent="0.25">
      <c r="A589" s="308">
        <v>43179</v>
      </c>
      <c r="B589" s="310">
        <v>1.2271000000000001</v>
      </c>
    </row>
    <row r="590" spans="1:2" x14ac:dyDescent="0.25">
      <c r="A590" s="308">
        <v>43180</v>
      </c>
      <c r="B590" s="310">
        <v>1.2267999999999999</v>
      </c>
    </row>
    <row r="591" spans="1:2" x14ac:dyDescent="0.25">
      <c r="A591" s="308">
        <v>43181</v>
      </c>
      <c r="B591" s="310">
        <v>1.2310000000000001</v>
      </c>
    </row>
    <row r="592" spans="1:2" x14ac:dyDescent="0.25">
      <c r="A592" s="308">
        <v>43182</v>
      </c>
      <c r="B592" s="310">
        <v>1.236</v>
      </c>
    </row>
    <row r="593" spans="1:2" x14ac:dyDescent="0.25">
      <c r="A593" s="308">
        <v>43185</v>
      </c>
      <c r="B593" s="310">
        <v>1.244</v>
      </c>
    </row>
    <row r="594" spans="1:2" x14ac:dyDescent="0.25">
      <c r="A594" s="308">
        <v>43186</v>
      </c>
      <c r="B594" s="310">
        <v>1.2410000000000001</v>
      </c>
    </row>
    <row r="595" spans="1:2" x14ac:dyDescent="0.25">
      <c r="A595" s="308">
        <v>43187</v>
      </c>
      <c r="B595" s="310">
        <v>1.2351000000000001</v>
      </c>
    </row>
    <row r="596" spans="1:2" x14ac:dyDescent="0.25">
      <c r="A596" s="308">
        <v>43188</v>
      </c>
      <c r="B596" s="310">
        <v>1.2297</v>
      </c>
    </row>
    <row r="597" spans="1:2" x14ac:dyDescent="0.25">
      <c r="A597" s="308">
        <v>43189</v>
      </c>
      <c r="B597" s="310">
        <v>1.232</v>
      </c>
    </row>
    <row r="598" spans="1:2" x14ac:dyDescent="0.25">
      <c r="A598" s="308">
        <v>43192</v>
      </c>
      <c r="B598" s="310">
        <v>1.2287999999999999</v>
      </c>
    </row>
    <row r="599" spans="1:2" x14ac:dyDescent="0.25">
      <c r="A599" s="308">
        <v>43193</v>
      </c>
      <c r="B599" s="310">
        <v>1.2261</v>
      </c>
    </row>
    <row r="600" spans="1:2" x14ac:dyDescent="0.25">
      <c r="A600" s="308">
        <v>43194</v>
      </c>
      <c r="B600" s="310">
        <v>1.2292000000000001</v>
      </c>
    </row>
    <row r="601" spans="1:2" x14ac:dyDescent="0.25">
      <c r="A601" s="308">
        <v>43195</v>
      </c>
      <c r="B601" s="310">
        <v>1.2230000000000001</v>
      </c>
    </row>
    <row r="602" spans="1:2" x14ac:dyDescent="0.25">
      <c r="A602" s="308">
        <v>43196</v>
      </c>
      <c r="B602" s="310">
        <v>1.2274</v>
      </c>
    </row>
    <row r="603" spans="1:2" x14ac:dyDescent="0.25">
      <c r="A603" s="308">
        <v>43199</v>
      </c>
      <c r="B603" s="310">
        <v>1.232</v>
      </c>
    </row>
    <row r="604" spans="1:2" x14ac:dyDescent="0.25">
      <c r="A604" s="308">
        <v>43200</v>
      </c>
      <c r="B604" s="310">
        <v>1.2338</v>
      </c>
    </row>
    <row r="605" spans="1:2" x14ac:dyDescent="0.25">
      <c r="A605" s="308">
        <v>43201</v>
      </c>
      <c r="B605" s="310">
        <v>1.2383999999999999</v>
      </c>
    </row>
    <row r="606" spans="1:2" x14ac:dyDescent="0.25">
      <c r="A606" s="308">
        <v>43202</v>
      </c>
      <c r="B606" s="310">
        <v>1.232</v>
      </c>
    </row>
    <row r="607" spans="1:2" x14ac:dyDescent="0.25">
      <c r="A607" s="308">
        <v>43203</v>
      </c>
      <c r="B607" s="310">
        <v>1.2322</v>
      </c>
    </row>
    <row r="608" spans="1:2" x14ac:dyDescent="0.25">
      <c r="A608" s="308">
        <v>43206</v>
      </c>
      <c r="B608" s="310">
        <v>1.2373000000000001</v>
      </c>
    </row>
    <row r="609" spans="1:2" x14ac:dyDescent="0.25">
      <c r="A609" s="308">
        <v>43207</v>
      </c>
      <c r="B609" s="310">
        <v>1.2344999999999999</v>
      </c>
    </row>
    <row r="610" spans="1:2" x14ac:dyDescent="0.25">
      <c r="A610" s="308">
        <v>43208</v>
      </c>
      <c r="B610" s="310">
        <v>1.238</v>
      </c>
    </row>
    <row r="611" spans="1:2" x14ac:dyDescent="0.25">
      <c r="A611" s="308">
        <v>43209</v>
      </c>
      <c r="B611" s="310">
        <v>1.2336</v>
      </c>
    </row>
    <row r="612" spans="1:2" x14ac:dyDescent="0.25">
      <c r="A612" s="308">
        <v>43210</v>
      </c>
      <c r="B612" s="310">
        <v>1.2282</v>
      </c>
    </row>
    <row r="613" spans="1:2" x14ac:dyDescent="0.25">
      <c r="A613" s="308">
        <v>43213</v>
      </c>
      <c r="B613" s="310">
        <v>1.2216</v>
      </c>
    </row>
    <row r="614" spans="1:2" x14ac:dyDescent="0.25">
      <c r="A614" s="308">
        <v>43214</v>
      </c>
      <c r="B614" s="310">
        <v>1.2225999999999999</v>
      </c>
    </row>
    <row r="615" spans="1:2" x14ac:dyDescent="0.25">
      <c r="A615" s="308">
        <v>43215</v>
      </c>
      <c r="B615" s="310">
        <v>1.2178</v>
      </c>
    </row>
    <row r="616" spans="1:2" x14ac:dyDescent="0.25">
      <c r="A616" s="308">
        <v>43216</v>
      </c>
      <c r="B616" s="310">
        <v>1.2113</v>
      </c>
    </row>
    <row r="617" spans="1:2" x14ac:dyDescent="0.25">
      <c r="A617" s="308">
        <v>43217</v>
      </c>
      <c r="B617" s="310">
        <v>1.2108000000000001</v>
      </c>
    </row>
    <row r="618" spans="1:2" x14ac:dyDescent="0.25">
      <c r="A618" s="308">
        <v>43220</v>
      </c>
      <c r="B618" s="310">
        <v>1.2074</v>
      </c>
    </row>
    <row r="619" spans="1:2" x14ac:dyDescent="0.25">
      <c r="A619" s="308">
        <v>43221</v>
      </c>
      <c r="B619" s="310">
        <v>1.2</v>
      </c>
    </row>
    <row r="620" spans="1:2" x14ac:dyDescent="0.25">
      <c r="A620" s="308">
        <v>43222</v>
      </c>
      <c r="B620" s="310">
        <v>1.1968000000000001</v>
      </c>
    </row>
    <row r="621" spans="1:2" x14ac:dyDescent="0.25">
      <c r="A621" s="308">
        <v>43223</v>
      </c>
      <c r="B621" s="310">
        <v>1.1970000000000001</v>
      </c>
    </row>
    <row r="622" spans="1:2" x14ac:dyDescent="0.25">
      <c r="A622" s="308">
        <v>43224</v>
      </c>
      <c r="B622" s="310">
        <v>1.1946000000000001</v>
      </c>
    </row>
    <row r="623" spans="1:2" x14ac:dyDescent="0.25">
      <c r="A623" s="308">
        <v>43227</v>
      </c>
      <c r="B623" s="310">
        <v>1.1927000000000001</v>
      </c>
    </row>
    <row r="624" spans="1:2" x14ac:dyDescent="0.25">
      <c r="A624" s="308">
        <v>43228</v>
      </c>
      <c r="B624" s="310">
        <v>1.1862999999999999</v>
      </c>
    </row>
    <row r="625" spans="1:2" x14ac:dyDescent="0.25">
      <c r="A625" s="308">
        <v>43229</v>
      </c>
      <c r="B625" s="310">
        <v>1.1852</v>
      </c>
    </row>
    <row r="626" spans="1:2" x14ac:dyDescent="0.25">
      <c r="A626" s="308">
        <v>43230</v>
      </c>
      <c r="B626" s="310">
        <v>1.1896</v>
      </c>
    </row>
    <row r="627" spans="1:2" x14ac:dyDescent="0.25">
      <c r="A627" s="308">
        <v>43231</v>
      </c>
      <c r="B627" s="310">
        <v>1.1951000000000001</v>
      </c>
    </row>
    <row r="628" spans="1:2" x14ac:dyDescent="0.25">
      <c r="A628" s="308">
        <v>43234</v>
      </c>
      <c r="B628" s="310">
        <v>1.1976</v>
      </c>
    </row>
    <row r="629" spans="1:2" x14ac:dyDescent="0.25">
      <c r="A629" s="308">
        <v>43235</v>
      </c>
      <c r="B629" s="310">
        <v>1.1863999999999999</v>
      </c>
    </row>
    <row r="630" spans="1:2" x14ac:dyDescent="0.25">
      <c r="A630" s="308">
        <v>43236</v>
      </c>
      <c r="B630" s="310">
        <v>1.1788000000000001</v>
      </c>
    </row>
    <row r="631" spans="1:2" x14ac:dyDescent="0.25">
      <c r="A631" s="308">
        <v>43237</v>
      </c>
      <c r="B631" s="310">
        <v>1.1798</v>
      </c>
    </row>
    <row r="632" spans="1:2" x14ac:dyDescent="0.25">
      <c r="A632" s="308">
        <v>43238</v>
      </c>
      <c r="B632" s="310">
        <v>1.1775</v>
      </c>
    </row>
    <row r="633" spans="1:2" x14ac:dyDescent="0.25">
      <c r="A633" s="308">
        <v>43241</v>
      </c>
      <c r="B633" s="310">
        <v>1.1768000000000001</v>
      </c>
    </row>
    <row r="634" spans="1:2" x14ac:dyDescent="0.25">
      <c r="A634" s="308">
        <v>43242</v>
      </c>
      <c r="B634" s="310">
        <v>1.1782999999999999</v>
      </c>
    </row>
    <row r="635" spans="1:2" x14ac:dyDescent="0.25">
      <c r="A635" s="308">
        <v>43243</v>
      </c>
      <c r="B635" s="310">
        <v>1.1693</v>
      </c>
    </row>
    <row r="636" spans="1:2" x14ac:dyDescent="0.25">
      <c r="A636" s="308">
        <v>43244</v>
      </c>
      <c r="B636" s="310">
        <v>1.1729000000000001</v>
      </c>
    </row>
    <row r="637" spans="1:2" x14ac:dyDescent="0.25">
      <c r="A637" s="308">
        <v>43245</v>
      </c>
      <c r="B637" s="310">
        <v>1.1666000000000001</v>
      </c>
    </row>
    <row r="638" spans="1:2" x14ac:dyDescent="0.25">
      <c r="A638" s="308">
        <v>43248</v>
      </c>
      <c r="B638" s="309">
        <v>0</v>
      </c>
    </row>
    <row r="639" spans="1:2" x14ac:dyDescent="0.25">
      <c r="A639" s="308">
        <v>43249</v>
      </c>
      <c r="B639" s="310">
        <v>1.1551</v>
      </c>
    </row>
    <row r="640" spans="1:2" x14ac:dyDescent="0.25">
      <c r="A640" s="308">
        <v>43250</v>
      </c>
      <c r="B640" s="310">
        <v>1.1664000000000001</v>
      </c>
    </row>
    <row r="641" spans="1:2" x14ac:dyDescent="0.25">
      <c r="A641" s="308">
        <v>43251</v>
      </c>
      <c r="B641" s="310">
        <v>1.167</v>
      </c>
    </row>
    <row r="642" spans="1:2" x14ac:dyDescent="0.25">
      <c r="A642" s="308">
        <v>43252</v>
      </c>
      <c r="B642" s="310">
        <v>1.1678999999999999</v>
      </c>
    </row>
    <row r="643" spans="1:2" x14ac:dyDescent="0.25">
      <c r="A643" s="308">
        <v>43255</v>
      </c>
      <c r="B643" s="310">
        <v>1.1696</v>
      </c>
    </row>
    <row r="644" spans="1:2" x14ac:dyDescent="0.25">
      <c r="A644" s="308">
        <v>43256</v>
      </c>
      <c r="B644" s="310">
        <v>1.1672</v>
      </c>
    </row>
    <row r="645" spans="1:2" x14ac:dyDescent="0.25">
      <c r="A645" s="308">
        <v>43257</v>
      </c>
      <c r="B645" s="310">
        <v>1.1778</v>
      </c>
    </row>
    <row r="646" spans="1:2" x14ac:dyDescent="0.25">
      <c r="A646" s="308">
        <v>43258</v>
      </c>
      <c r="B646" s="310">
        <v>1.1815</v>
      </c>
    </row>
    <row r="647" spans="1:2" x14ac:dyDescent="0.25">
      <c r="A647" s="308">
        <v>43259</v>
      </c>
      <c r="B647" s="310">
        <v>1.1773</v>
      </c>
    </row>
    <row r="648" spans="1:2" x14ac:dyDescent="0.25">
      <c r="A648" s="308">
        <v>43262</v>
      </c>
      <c r="B648" s="310">
        <v>1.1801999999999999</v>
      </c>
    </row>
    <row r="649" spans="1:2" x14ac:dyDescent="0.25">
      <c r="A649" s="308">
        <v>43263</v>
      </c>
      <c r="B649" s="310">
        <v>1.1792</v>
      </c>
    </row>
    <row r="650" spans="1:2" x14ac:dyDescent="0.25">
      <c r="A650" s="308">
        <v>43264</v>
      </c>
      <c r="B650" s="310">
        <v>1.1783999999999999</v>
      </c>
    </row>
    <row r="651" spans="1:2" x14ac:dyDescent="0.25">
      <c r="A651" s="308">
        <v>43265</v>
      </c>
      <c r="B651" s="310">
        <v>1.1634</v>
      </c>
    </row>
    <row r="652" spans="1:2" x14ac:dyDescent="0.25">
      <c r="A652" s="308">
        <v>43266</v>
      </c>
      <c r="B652" s="310">
        <v>1.1616</v>
      </c>
    </row>
    <row r="653" spans="1:2" x14ac:dyDescent="0.25">
      <c r="A653" s="308">
        <v>43269</v>
      </c>
      <c r="B653" s="310">
        <v>1.1606000000000001</v>
      </c>
    </row>
    <row r="654" spans="1:2" x14ac:dyDescent="0.25">
      <c r="A654" s="308">
        <v>43270</v>
      </c>
      <c r="B654" s="310">
        <v>1.1577</v>
      </c>
    </row>
    <row r="655" spans="1:2" x14ac:dyDescent="0.25">
      <c r="A655" s="308">
        <v>43271</v>
      </c>
      <c r="B655" s="310">
        <v>1.1592</v>
      </c>
    </row>
    <row r="656" spans="1:2" x14ac:dyDescent="0.25">
      <c r="A656" s="308">
        <v>43272</v>
      </c>
      <c r="B656" s="310">
        <v>1.1599999999999999</v>
      </c>
    </row>
    <row r="657" spans="1:2" x14ac:dyDescent="0.25">
      <c r="A657" s="308">
        <v>43273</v>
      </c>
      <c r="B657" s="310">
        <v>1.163</v>
      </c>
    </row>
    <row r="658" spans="1:2" x14ac:dyDescent="0.25">
      <c r="A658" s="308">
        <v>43276</v>
      </c>
      <c r="B658" s="310">
        <v>1.1694</v>
      </c>
    </row>
    <row r="659" spans="1:2" x14ac:dyDescent="0.25">
      <c r="A659" s="308">
        <v>43277</v>
      </c>
      <c r="B659" s="310">
        <v>1.1675</v>
      </c>
    </row>
    <row r="660" spans="1:2" x14ac:dyDescent="0.25">
      <c r="A660" s="308">
        <v>43278</v>
      </c>
      <c r="B660" s="310">
        <v>1.1588000000000001</v>
      </c>
    </row>
    <row r="661" spans="1:2" x14ac:dyDescent="0.25">
      <c r="A661" s="308">
        <v>43279</v>
      </c>
      <c r="B661" s="310">
        <v>1.1581999999999999</v>
      </c>
    </row>
    <row r="662" spans="1:2" x14ac:dyDescent="0.25">
      <c r="A662" s="308">
        <v>43280</v>
      </c>
      <c r="B662" s="310">
        <v>1.1677</v>
      </c>
    </row>
    <row r="663" spans="1:2" x14ac:dyDescent="0.25">
      <c r="A663" s="308">
        <v>43283</v>
      </c>
      <c r="B663" s="310">
        <v>1.1604000000000001</v>
      </c>
    </row>
    <row r="664" spans="1:2" x14ac:dyDescent="0.25">
      <c r="A664" s="308">
        <v>43284</v>
      </c>
      <c r="B664" s="310">
        <v>1.1653</v>
      </c>
    </row>
    <row r="665" spans="1:2" x14ac:dyDescent="0.25">
      <c r="A665" s="308">
        <v>43285</v>
      </c>
      <c r="B665" s="309">
        <v>0</v>
      </c>
    </row>
    <row r="666" spans="1:2" x14ac:dyDescent="0.25">
      <c r="A666" s="308">
        <v>43286</v>
      </c>
      <c r="B666" s="310">
        <v>1.1697</v>
      </c>
    </row>
    <row r="667" spans="1:2" x14ac:dyDescent="0.25">
      <c r="A667" s="308">
        <v>43287</v>
      </c>
      <c r="B667" s="310">
        <v>1.1738</v>
      </c>
    </row>
    <row r="668" spans="1:2" x14ac:dyDescent="0.25">
      <c r="A668" s="308">
        <v>43290</v>
      </c>
      <c r="B668" s="310">
        <v>1.1744000000000001</v>
      </c>
    </row>
    <row r="669" spans="1:2" x14ac:dyDescent="0.25">
      <c r="A669" s="308">
        <v>43291</v>
      </c>
      <c r="B669" s="310">
        <v>1.1728000000000001</v>
      </c>
    </row>
    <row r="670" spans="1:2" x14ac:dyDescent="0.25">
      <c r="A670" s="308">
        <v>43292</v>
      </c>
      <c r="B670" s="310">
        <v>1.1721999999999999</v>
      </c>
    </row>
    <row r="671" spans="1:2" x14ac:dyDescent="0.25">
      <c r="A671" s="308">
        <v>43293</v>
      </c>
      <c r="B671" s="310">
        <v>1.1692</v>
      </c>
    </row>
    <row r="672" spans="1:2" x14ac:dyDescent="0.25">
      <c r="A672" s="308">
        <v>43294</v>
      </c>
      <c r="B672" s="310">
        <v>1.1667000000000001</v>
      </c>
    </row>
    <row r="673" spans="1:2" x14ac:dyDescent="0.25">
      <c r="A673" s="308">
        <v>43297</v>
      </c>
      <c r="B673" s="310">
        <v>1.171</v>
      </c>
    </row>
    <row r="674" spans="1:2" x14ac:dyDescent="0.25">
      <c r="A674" s="308">
        <v>43298</v>
      </c>
      <c r="B674" s="310">
        <v>1.1664000000000001</v>
      </c>
    </row>
    <row r="675" spans="1:2" x14ac:dyDescent="0.25">
      <c r="A675" s="308">
        <v>43299</v>
      </c>
      <c r="B675" s="310">
        <v>1.1645000000000001</v>
      </c>
    </row>
    <row r="676" spans="1:2" x14ac:dyDescent="0.25">
      <c r="A676" s="308">
        <v>43300</v>
      </c>
      <c r="B676" s="310">
        <v>1.1604000000000001</v>
      </c>
    </row>
    <row r="677" spans="1:2" x14ac:dyDescent="0.25">
      <c r="A677" s="308">
        <v>43301</v>
      </c>
      <c r="B677" s="310">
        <v>1.1708000000000001</v>
      </c>
    </row>
    <row r="678" spans="1:2" x14ac:dyDescent="0.25">
      <c r="A678" s="308">
        <v>43304</v>
      </c>
      <c r="B678" s="310">
        <v>1.1701999999999999</v>
      </c>
    </row>
    <row r="679" spans="1:2" x14ac:dyDescent="0.25">
      <c r="A679" s="308">
        <v>43305</v>
      </c>
      <c r="B679" s="310">
        <v>1.1684000000000001</v>
      </c>
    </row>
    <row r="680" spans="1:2" x14ac:dyDescent="0.25">
      <c r="A680" s="308">
        <v>43306</v>
      </c>
      <c r="B680" s="310">
        <v>1.1677</v>
      </c>
    </row>
    <row r="681" spans="1:2" x14ac:dyDescent="0.25">
      <c r="A681" s="308">
        <v>43307</v>
      </c>
      <c r="B681" s="310">
        <v>1.1654</v>
      </c>
    </row>
    <row r="682" spans="1:2" x14ac:dyDescent="0.25">
      <c r="A682" s="308">
        <v>43308</v>
      </c>
      <c r="B682" s="310">
        <v>1.1659999999999999</v>
      </c>
    </row>
    <row r="683" spans="1:2" x14ac:dyDescent="0.25">
      <c r="A683" s="308">
        <v>43311</v>
      </c>
      <c r="B683" s="310">
        <v>1.1718</v>
      </c>
    </row>
    <row r="684" spans="1:2" x14ac:dyDescent="0.25">
      <c r="A684" s="308">
        <v>43312</v>
      </c>
      <c r="B684" s="310">
        <v>1.1706000000000001</v>
      </c>
    </row>
    <row r="685" spans="1:2" x14ac:dyDescent="0.25">
      <c r="A685" s="308">
        <v>43313</v>
      </c>
      <c r="B685" s="310">
        <v>1.1666000000000001</v>
      </c>
    </row>
    <row r="686" spans="1:2" x14ac:dyDescent="0.25">
      <c r="A686" s="308">
        <v>43314</v>
      </c>
      <c r="B686" s="310">
        <v>1.1612</v>
      </c>
    </row>
    <row r="687" spans="1:2" x14ac:dyDescent="0.25">
      <c r="A687" s="308">
        <v>43315</v>
      </c>
      <c r="B687" s="310">
        <v>1.1597</v>
      </c>
    </row>
    <row r="688" spans="1:2" x14ac:dyDescent="0.25">
      <c r="A688" s="308">
        <v>43318</v>
      </c>
      <c r="B688" s="310">
        <v>1.1564000000000001</v>
      </c>
    </row>
    <row r="689" spans="1:2" x14ac:dyDescent="0.25">
      <c r="A689" s="308">
        <v>43319</v>
      </c>
      <c r="B689" s="310">
        <v>1.1597</v>
      </c>
    </row>
    <row r="690" spans="1:2" x14ac:dyDescent="0.25">
      <c r="A690" s="308">
        <v>43320</v>
      </c>
      <c r="B690" s="310">
        <v>1.1597999999999999</v>
      </c>
    </row>
    <row r="691" spans="1:2" x14ac:dyDescent="0.25">
      <c r="A691" s="308">
        <v>43321</v>
      </c>
      <c r="B691" s="310">
        <v>1.1566000000000001</v>
      </c>
    </row>
    <row r="692" spans="1:2" x14ac:dyDescent="0.25">
      <c r="A692" s="308">
        <v>43322</v>
      </c>
      <c r="B692" s="310">
        <v>1.1398999999999999</v>
      </c>
    </row>
    <row r="693" spans="1:2" x14ac:dyDescent="0.25">
      <c r="A693" s="308">
        <v>43325</v>
      </c>
      <c r="B693" s="310">
        <v>1.1395999999999999</v>
      </c>
    </row>
    <row r="694" spans="1:2" x14ac:dyDescent="0.25">
      <c r="A694" s="308">
        <v>43326</v>
      </c>
      <c r="B694" s="310">
        <v>1.1351</v>
      </c>
    </row>
    <row r="695" spans="1:2" x14ac:dyDescent="0.25">
      <c r="A695" s="308">
        <v>43327</v>
      </c>
      <c r="B695" s="310">
        <v>1.1332</v>
      </c>
    </row>
    <row r="696" spans="1:2" x14ac:dyDescent="0.25">
      <c r="A696" s="308">
        <v>43328</v>
      </c>
      <c r="B696" s="310">
        <v>1.1388</v>
      </c>
    </row>
    <row r="697" spans="1:2" x14ac:dyDescent="0.25">
      <c r="A697" s="308">
        <v>43329</v>
      </c>
      <c r="B697" s="310">
        <v>1.141</v>
      </c>
    </row>
    <row r="698" spans="1:2" x14ac:dyDescent="0.25">
      <c r="A698" s="308">
        <v>43332</v>
      </c>
      <c r="B698" s="310">
        <v>1.1437999999999999</v>
      </c>
    </row>
    <row r="699" spans="1:2" x14ac:dyDescent="0.25">
      <c r="A699" s="308">
        <v>43333</v>
      </c>
      <c r="B699" s="310">
        <v>1.1534</v>
      </c>
    </row>
    <row r="700" spans="1:2" x14ac:dyDescent="0.25">
      <c r="A700" s="308">
        <v>43334</v>
      </c>
      <c r="B700" s="310">
        <v>1.1595</v>
      </c>
    </row>
    <row r="701" spans="1:2" x14ac:dyDescent="0.25">
      <c r="A701" s="308">
        <v>43335</v>
      </c>
      <c r="B701" s="310">
        <v>1.1567000000000001</v>
      </c>
    </row>
    <row r="702" spans="1:2" x14ac:dyDescent="0.25">
      <c r="A702" s="308">
        <v>43336</v>
      </c>
      <c r="B702" s="310">
        <v>1.1625000000000001</v>
      </c>
    </row>
    <row r="703" spans="1:2" x14ac:dyDescent="0.25">
      <c r="A703" s="308">
        <v>43339</v>
      </c>
      <c r="B703" s="310">
        <v>1.1676</v>
      </c>
    </row>
    <row r="704" spans="1:2" x14ac:dyDescent="0.25">
      <c r="A704" s="308">
        <v>43340</v>
      </c>
      <c r="B704" s="310">
        <v>1.1719999999999999</v>
      </c>
    </row>
    <row r="705" spans="1:2" x14ac:dyDescent="0.25">
      <c r="A705" s="308">
        <v>43341</v>
      </c>
      <c r="B705" s="310">
        <v>1.1698999999999999</v>
      </c>
    </row>
    <row r="706" spans="1:2" x14ac:dyDescent="0.25">
      <c r="A706" s="308">
        <v>43342</v>
      </c>
      <c r="B706" s="310">
        <v>1.1646000000000001</v>
      </c>
    </row>
    <row r="707" spans="1:2" x14ac:dyDescent="0.25">
      <c r="A707" s="308">
        <v>43343</v>
      </c>
      <c r="B707" s="310">
        <v>1.1596</v>
      </c>
    </row>
    <row r="708" spans="1:2" x14ac:dyDescent="0.25">
      <c r="A708" s="308">
        <v>43346</v>
      </c>
      <c r="B708" s="309">
        <v>0</v>
      </c>
    </row>
    <row r="709" spans="1:2" x14ac:dyDescent="0.25">
      <c r="A709" s="308">
        <v>43347</v>
      </c>
      <c r="B709" s="310">
        <v>1.1566000000000001</v>
      </c>
    </row>
    <row r="710" spans="1:2" x14ac:dyDescent="0.25">
      <c r="A710" s="308">
        <v>43348</v>
      </c>
      <c r="B710" s="310">
        <v>1.1619999999999999</v>
      </c>
    </row>
    <row r="711" spans="1:2" x14ac:dyDescent="0.25">
      <c r="A711" s="308">
        <v>43349</v>
      </c>
      <c r="B711" s="310">
        <v>1.1624000000000001</v>
      </c>
    </row>
    <row r="712" spans="1:2" x14ac:dyDescent="0.25">
      <c r="A712" s="308">
        <v>43350</v>
      </c>
      <c r="B712" s="310">
        <v>1.1572</v>
      </c>
    </row>
    <row r="713" spans="1:2" x14ac:dyDescent="0.25">
      <c r="A713" s="308">
        <v>43353</v>
      </c>
      <c r="B713" s="310">
        <v>1.1604000000000001</v>
      </c>
    </row>
    <row r="714" spans="1:2" x14ac:dyDescent="0.25">
      <c r="A714" s="308">
        <v>43354</v>
      </c>
      <c r="B714" s="310">
        <v>1.1591</v>
      </c>
    </row>
    <row r="715" spans="1:2" x14ac:dyDescent="0.25">
      <c r="A715" s="308">
        <v>43355</v>
      </c>
      <c r="B715" s="310">
        <v>1.1626000000000001</v>
      </c>
    </row>
    <row r="716" spans="1:2" x14ac:dyDescent="0.25">
      <c r="A716" s="308">
        <v>43356</v>
      </c>
      <c r="B716" s="310">
        <v>1.1672</v>
      </c>
    </row>
    <row r="717" spans="1:2" x14ac:dyDescent="0.25">
      <c r="A717" s="308">
        <v>43357</v>
      </c>
      <c r="B717" s="310">
        <v>1.1656</v>
      </c>
    </row>
    <row r="718" spans="1:2" x14ac:dyDescent="0.25">
      <c r="A718" s="308">
        <v>43360</v>
      </c>
      <c r="B718" s="310">
        <v>1.1687000000000001</v>
      </c>
    </row>
    <row r="719" spans="1:2" x14ac:dyDescent="0.25">
      <c r="A719" s="308">
        <v>43361</v>
      </c>
      <c r="B719" s="310">
        <v>1.1693</v>
      </c>
    </row>
    <row r="720" spans="1:2" x14ac:dyDescent="0.25">
      <c r="A720" s="308">
        <v>43362</v>
      </c>
      <c r="B720" s="310">
        <v>1.1685000000000001</v>
      </c>
    </row>
    <row r="721" spans="1:2" x14ac:dyDescent="0.25">
      <c r="A721" s="308">
        <v>43363</v>
      </c>
      <c r="B721" s="310">
        <v>1.1744000000000001</v>
      </c>
    </row>
    <row r="722" spans="1:2" x14ac:dyDescent="0.25">
      <c r="A722" s="308">
        <v>43364</v>
      </c>
      <c r="B722" s="310">
        <v>1.1738999999999999</v>
      </c>
    </row>
    <row r="723" spans="1:2" x14ac:dyDescent="0.25">
      <c r="A723" s="308">
        <v>43367</v>
      </c>
      <c r="B723" s="310">
        <v>1.1773</v>
      </c>
    </row>
    <row r="724" spans="1:2" x14ac:dyDescent="0.25">
      <c r="A724" s="308">
        <v>43368</v>
      </c>
      <c r="B724" s="310">
        <v>1.177</v>
      </c>
    </row>
    <row r="725" spans="1:2" x14ac:dyDescent="0.25">
      <c r="A725" s="308">
        <v>43369</v>
      </c>
      <c r="B725" s="310">
        <v>1.1758</v>
      </c>
    </row>
    <row r="726" spans="1:2" x14ac:dyDescent="0.25">
      <c r="A726" s="308">
        <v>43370</v>
      </c>
      <c r="B726" s="310">
        <v>1.167</v>
      </c>
    </row>
    <row r="727" spans="1:2" x14ac:dyDescent="0.25">
      <c r="A727" s="308">
        <v>43371</v>
      </c>
      <c r="B727" s="310">
        <v>1.1621999999999999</v>
      </c>
    </row>
    <row r="728" spans="1:2" x14ac:dyDescent="0.25">
      <c r="A728" s="308">
        <v>43374</v>
      </c>
      <c r="B728" s="310">
        <v>1.1567000000000001</v>
      </c>
    </row>
    <row r="729" spans="1:2" x14ac:dyDescent="0.25">
      <c r="A729" s="308">
        <v>43375</v>
      </c>
      <c r="B729" s="310">
        <v>1.1559999999999999</v>
      </c>
    </row>
    <row r="730" spans="1:2" x14ac:dyDescent="0.25">
      <c r="A730" s="308">
        <v>43376</v>
      </c>
      <c r="B730" s="310">
        <v>1.1525000000000001</v>
      </c>
    </row>
    <row r="731" spans="1:2" x14ac:dyDescent="0.25">
      <c r="A731" s="308">
        <v>43377</v>
      </c>
      <c r="B731" s="310">
        <v>1.1508</v>
      </c>
    </row>
    <row r="732" spans="1:2" x14ac:dyDescent="0.25">
      <c r="A732" s="308">
        <v>43378</v>
      </c>
      <c r="B732" s="310">
        <v>1.1501999999999999</v>
      </c>
    </row>
    <row r="733" spans="1:2" x14ac:dyDescent="0.25">
      <c r="A733" s="308">
        <v>43381</v>
      </c>
      <c r="B733" s="309">
        <v>0</v>
      </c>
    </row>
    <row r="734" spans="1:2" x14ac:dyDescent="0.25">
      <c r="A734" s="308">
        <v>43382</v>
      </c>
      <c r="B734" s="310">
        <v>1.1482000000000001</v>
      </c>
    </row>
    <row r="735" spans="1:2" x14ac:dyDescent="0.25">
      <c r="A735" s="308">
        <v>43383</v>
      </c>
      <c r="B735" s="310">
        <v>1.1540999999999999</v>
      </c>
    </row>
    <row r="736" spans="1:2" x14ac:dyDescent="0.25">
      <c r="A736" s="308">
        <v>43384</v>
      </c>
      <c r="B736" s="310">
        <v>1.1565000000000001</v>
      </c>
    </row>
    <row r="737" spans="1:2" x14ac:dyDescent="0.25">
      <c r="A737" s="308">
        <v>43385</v>
      </c>
      <c r="B737" s="310">
        <v>1.1558999999999999</v>
      </c>
    </row>
    <row r="738" spans="1:2" x14ac:dyDescent="0.25">
      <c r="A738" s="308">
        <v>43388</v>
      </c>
      <c r="B738" s="310">
        <v>1.1594</v>
      </c>
    </row>
    <row r="739" spans="1:2" x14ac:dyDescent="0.25">
      <c r="A739" s="308">
        <v>43389</v>
      </c>
      <c r="B739" s="310">
        <v>1.1593</v>
      </c>
    </row>
    <row r="740" spans="1:2" x14ac:dyDescent="0.25">
      <c r="A740" s="308">
        <v>43390</v>
      </c>
      <c r="B740" s="310">
        <v>1.1539999999999999</v>
      </c>
    </row>
    <row r="741" spans="1:2" x14ac:dyDescent="0.25">
      <c r="A741" s="308">
        <v>43391</v>
      </c>
      <c r="B741" s="310">
        <v>1.1494</v>
      </c>
    </row>
    <row r="742" spans="1:2" x14ac:dyDescent="0.25">
      <c r="A742" s="308">
        <v>43392</v>
      </c>
      <c r="B742" s="310">
        <v>1.1513</v>
      </c>
    </row>
    <row r="743" spans="1:2" x14ac:dyDescent="0.25">
      <c r="A743" s="308">
        <v>43395</v>
      </c>
      <c r="B743" s="310">
        <v>1.1467000000000001</v>
      </c>
    </row>
    <row r="744" spans="1:2" x14ac:dyDescent="0.25">
      <c r="A744" s="308">
        <v>43396</v>
      </c>
      <c r="B744" s="310">
        <v>1.1479999999999999</v>
      </c>
    </row>
    <row r="745" spans="1:2" x14ac:dyDescent="0.25">
      <c r="A745" s="308">
        <v>43397</v>
      </c>
      <c r="B745" s="310">
        <v>1.1389</v>
      </c>
    </row>
    <row r="746" spans="1:2" x14ac:dyDescent="0.25">
      <c r="A746" s="308">
        <v>43398</v>
      </c>
      <c r="B746" s="310">
        <v>1.1374</v>
      </c>
    </row>
    <row r="747" spans="1:2" x14ac:dyDescent="0.25">
      <c r="A747" s="308">
        <v>43399</v>
      </c>
      <c r="B747" s="310">
        <v>1.1388</v>
      </c>
    </row>
    <row r="748" spans="1:2" x14ac:dyDescent="0.25">
      <c r="A748" s="308">
        <v>43402</v>
      </c>
      <c r="B748" s="310">
        <v>1.139</v>
      </c>
    </row>
    <row r="749" spans="1:2" x14ac:dyDescent="0.25">
      <c r="A749" s="308">
        <v>43403</v>
      </c>
      <c r="B749" s="310">
        <v>1.1364000000000001</v>
      </c>
    </row>
    <row r="750" spans="1:2" x14ac:dyDescent="0.25">
      <c r="A750" s="308">
        <v>43404</v>
      </c>
      <c r="B750" s="310">
        <v>1.1332</v>
      </c>
    </row>
    <row r="751" spans="1:2" x14ac:dyDescent="0.25">
      <c r="A751" s="308">
        <v>43405</v>
      </c>
      <c r="B751" s="310">
        <v>1.1395999999999999</v>
      </c>
    </row>
    <row r="752" spans="1:2" x14ac:dyDescent="0.25">
      <c r="A752" s="308">
        <v>43406</v>
      </c>
      <c r="B752" s="310">
        <v>1.1377999999999999</v>
      </c>
    </row>
    <row r="753" spans="1:2" x14ac:dyDescent="0.25">
      <c r="A753" s="308">
        <v>43409</v>
      </c>
      <c r="B753" s="310">
        <v>1.1394</v>
      </c>
    </row>
    <row r="754" spans="1:2" x14ac:dyDescent="0.25">
      <c r="A754" s="308">
        <v>43410</v>
      </c>
      <c r="B754" s="310">
        <v>1.1412</v>
      </c>
    </row>
    <row r="755" spans="1:2" x14ac:dyDescent="0.25">
      <c r="A755" s="308">
        <v>43411</v>
      </c>
      <c r="B755" s="310">
        <v>1.1458999999999999</v>
      </c>
    </row>
    <row r="756" spans="1:2" x14ac:dyDescent="0.25">
      <c r="A756" s="308">
        <v>43412</v>
      </c>
      <c r="B756" s="310">
        <v>1.1415999999999999</v>
      </c>
    </row>
    <row r="757" spans="1:2" x14ac:dyDescent="0.25">
      <c r="A757" s="308">
        <v>43413</v>
      </c>
      <c r="B757" s="310">
        <v>1.1325000000000001</v>
      </c>
    </row>
    <row r="758" spans="1:2" x14ac:dyDescent="0.25">
      <c r="A758" s="308">
        <v>43416</v>
      </c>
      <c r="B758" s="309">
        <v>0</v>
      </c>
    </row>
    <row r="759" spans="1:2" x14ac:dyDescent="0.25">
      <c r="A759" s="308">
        <v>43417</v>
      </c>
      <c r="B759" s="310">
        <v>1.1288</v>
      </c>
    </row>
    <row r="760" spans="1:2" x14ac:dyDescent="0.25">
      <c r="A760" s="308">
        <v>43418</v>
      </c>
      <c r="B760" s="310">
        <v>1.1312</v>
      </c>
    </row>
    <row r="761" spans="1:2" x14ac:dyDescent="0.25">
      <c r="A761" s="308">
        <v>43419</v>
      </c>
      <c r="B761" s="310">
        <v>1.1324000000000001</v>
      </c>
    </row>
    <row r="762" spans="1:2" x14ac:dyDescent="0.25">
      <c r="A762" s="308">
        <v>43420</v>
      </c>
      <c r="B762" s="310">
        <v>1.1402000000000001</v>
      </c>
    </row>
    <row r="763" spans="1:2" x14ac:dyDescent="0.25">
      <c r="A763" s="308">
        <v>43423</v>
      </c>
      <c r="B763" s="310">
        <v>1.1448</v>
      </c>
    </row>
    <row r="764" spans="1:2" x14ac:dyDescent="0.25">
      <c r="A764" s="308">
        <v>43424</v>
      </c>
      <c r="B764" s="310">
        <v>1.1391</v>
      </c>
    </row>
    <row r="765" spans="1:2" x14ac:dyDescent="0.25">
      <c r="A765" s="308">
        <v>43425</v>
      </c>
      <c r="B765" s="310">
        <v>1.1393</v>
      </c>
    </row>
    <row r="766" spans="1:2" x14ac:dyDescent="0.25">
      <c r="A766" s="308">
        <v>43426</v>
      </c>
      <c r="B766" s="309">
        <v>0</v>
      </c>
    </row>
    <row r="767" spans="1:2" x14ac:dyDescent="0.25">
      <c r="A767" s="308">
        <v>43427</v>
      </c>
      <c r="B767" s="310">
        <v>1.1332</v>
      </c>
    </row>
    <row r="768" spans="1:2" x14ac:dyDescent="0.25">
      <c r="A768" s="308">
        <v>43430</v>
      </c>
      <c r="B768" s="310">
        <v>1.1335999999999999</v>
      </c>
    </row>
    <row r="769" spans="1:2" x14ac:dyDescent="0.25">
      <c r="A769" s="308">
        <v>43431</v>
      </c>
      <c r="B769" s="310">
        <v>1.1281000000000001</v>
      </c>
    </row>
    <row r="770" spans="1:2" x14ac:dyDescent="0.25">
      <c r="A770" s="308">
        <v>43432</v>
      </c>
      <c r="B770" s="310">
        <v>1.1286</v>
      </c>
    </row>
    <row r="771" spans="1:2" x14ac:dyDescent="0.25">
      <c r="A771" s="308">
        <v>43433</v>
      </c>
      <c r="B771" s="310">
        <v>1.1382000000000001</v>
      </c>
    </row>
    <row r="772" spans="1:2" x14ac:dyDescent="0.25">
      <c r="A772" s="308">
        <v>43434</v>
      </c>
      <c r="B772" s="310">
        <v>1.1323000000000001</v>
      </c>
    </row>
    <row r="773" spans="1:2" x14ac:dyDescent="0.25">
      <c r="A773" s="308">
        <v>43437</v>
      </c>
      <c r="B773" s="310">
        <v>1.1355999999999999</v>
      </c>
    </row>
    <row r="774" spans="1:2" x14ac:dyDescent="0.25">
      <c r="A774" s="308">
        <v>43438</v>
      </c>
      <c r="B774" s="310">
        <v>1.1345000000000001</v>
      </c>
    </row>
    <row r="775" spans="1:2" x14ac:dyDescent="0.25">
      <c r="A775" s="308">
        <v>43439</v>
      </c>
      <c r="B775" s="309">
        <v>0</v>
      </c>
    </row>
    <row r="776" spans="1:2" x14ac:dyDescent="0.25">
      <c r="A776" s="308">
        <v>43440</v>
      </c>
      <c r="B776" s="310">
        <v>1.1374</v>
      </c>
    </row>
    <row r="777" spans="1:2" x14ac:dyDescent="0.25">
      <c r="A777" s="308">
        <v>43441</v>
      </c>
      <c r="B777" s="310">
        <v>1.139</v>
      </c>
    </row>
    <row r="778" spans="1:2" x14ac:dyDescent="0.25">
      <c r="A778" s="308">
        <v>43444</v>
      </c>
      <c r="B778" s="310">
        <v>1.1368</v>
      </c>
    </row>
    <row r="779" spans="1:2" x14ac:dyDescent="0.25">
      <c r="A779" s="308">
        <v>43445</v>
      </c>
      <c r="B779" s="310">
        <v>1.1314</v>
      </c>
    </row>
    <row r="780" spans="1:2" x14ac:dyDescent="0.25">
      <c r="A780" s="308">
        <v>43446</v>
      </c>
      <c r="B780" s="310">
        <v>1.1362000000000001</v>
      </c>
    </row>
    <row r="781" spans="1:2" x14ac:dyDescent="0.25">
      <c r="A781" s="308">
        <v>43447</v>
      </c>
      <c r="B781" s="310">
        <v>1.1357999999999999</v>
      </c>
    </row>
    <row r="782" spans="1:2" x14ac:dyDescent="0.25">
      <c r="A782" s="308">
        <v>43448</v>
      </c>
      <c r="B782" s="310">
        <v>1.1299999999999999</v>
      </c>
    </row>
    <row r="783" spans="1:2" x14ac:dyDescent="0.25">
      <c r="A783" s="308">
        <v>43451</v>
      </c>
      <c r="B783" s="310">
        <v>1.1338999999999999</v>
      </c>
    </row>
    <row r="784" spans="1:2" x14ac:dyDescent="0.25">
      <c r="A784" s="308">
        <v>43452</v>
      </c>
      <c r="B784" s="310">
        <v>1.1364000000000001</v>
      </c>
    </row>
    <row r="785" spans="1:2" x14ac:dyDescent="0.25">
      <c r="A785" s="308">
        <v>43453</v>
      </c>
      <c r="B785" s="310">
        <v>1.1422000000000001</v>
      </c>
    </row>
    <row r="786" spans="1:2" x14ac:dyDescent="0.25">
      <c r="A786" s="308">
        <v>43454</v>
      </c>
      <c r="B786" s="310">
        <v>1.1432</v>
      </c>
    </row>
    <row r="787" spans="1:2" x14ac:dyDescent="0.25">
      <c r="A787" s="308">
        <v>43455</v>
      </c>
      <c r="B787" s="310">
        <v>1.1402000000000001</v>
      </c>
    </row>
    <row r="788" spans="1:2" x14ac:dyDescent="0.25">
      <c r="A788" s="308">
        <v>43458</v>
      </c>
      <c r="B788" s="309">
        <v>0</v>
      </c>
    </row>
    <row r="789" spans="1:2" x14ac:dyDescent="0.25">
      <c r="A789" s="308">
        <v>43459</v>
      </c>
      <c r="B789" s="309">
        <v>0</v>
      </c>
    </row>
    <row r="790" spans="1:2" x14ac:dyDescent="0.25">
      <c r="A790" s="308">
        <v>43460</v>
      </c>
      <c r="B790" s="310">
        <v>1.1408</v>
      </c>
    </row>
    <row r="791" spans="1:2" x14ac:dyDescent="0.25">
      <c r="A791" s="308">
        <v>43461</v>
      </c>
      <c r="B791" s="310">
        <v>1.1412</v>
      </c>
    </row>
    <row r="792" spans="1:2" x14ac:dyDescent="0.25">
      <c r="A792" s="308">
        <v>43462</v>
      </c>
      <c r="B792" s="310">
        <v>1.1445000000000001</v>
      </c>
    </row>
    <row r="793" spans="1:2" x14ac:dyDescent="0.25">
      <c r="A793" s="308">
        <v>43465</v>
      </c>
      <c r="B793" s="310">
        <v>1.1456</v>
      </c>
    </row>
    <row r="794" spans="1:2" x14ac:dyDescent="0.25">
      <c r="A794" s="308">
        <v>43466</v>
      </c>
      <c r="B794" s="309">
        <v>0</v>
      </c>
    </row>
    <row r="795" spans="1:2" x14ac:dyDescent="0.25">
      <c r="A795" s="308">
        <v>43467</v>
      </c>
      <c r="B795" s="310">
        <v>1.1356999999999999</v>
      </c>
    </row>
    <row r="796" spans="1:2" x14ac:dyDescent="0.25">
      <c r="A796" s="308">
        <v>43468</v>
      </c>
      <c r="B796" s="310">
        <v>1.1398999999999999</v>
      </c>
    </row>
    <row r="797" spans="1:2" x14ac:dyDescent="0.25">
      <c r="A797" s="308">
        <v>43469</v>
      </c>
      <c r="B797" s="310">
        <v>1.141</v>
      </c>
    </row>
    <row r="798" spans="1:2" x14ac:dyDescent="0.25">
      <c r="A798" s="308">
        <v>43472</v>
      </c>
      <c r="B798" s="310">
        <v>1.1468</v>
      </c>
    </row>
    <row r="799" spans="1:2" x14ac:dyDescent="0.25">
      <c r="A799" s="308">
        <v>43473</v>
      </c>
      <c r="B799" s="310">
        <v>1.1444000000000001</v>
      </c>
    </row>
    <row r="800" spans="1:2" x14ac:dyDescent="0.25">
      <c r="A800" s="308">
        <v>43474</v>
      </c>
      <c r="B800" s="310">
        <v>1.1524000000000001</v>
      </c>
    </row>
    <row r="801" spans="1:2" x14ac:dyDescent="0.25">
      <c r="A801" s="308">
        <v>43475</v>
      </c>
      <c r="B801" s="310">
        <v>1.1516999999999999</v>
      </c>
    </row>
    <row r="802" spans="1:2" x14ac:dyDescent="0.25">
      <c r="A802" s="308">
        <v>43476</v>
      </c>
      <c r="B802" s="310">
        <v>1.1478999999999999</v>
      </c>
    </row>
    <row r="803" spans="1:2" x14ac:dyDescent="0.25">
      <c r="A803" s="308">
        <v>43479</v>
      </c>
      <c r="B803" s="309">
        <v>0</v>
      </c>
    </row>
    <row r="804" spans="1:2" x14ac:dyDescent="0.25">
      <c r="A804" s="308">
        <v>43480</v>
      </c>
      <c r="B804" s="310">
        <v>1.1392</v>
      </c>
    </row>
    <row r="805" spans="1:2" x14ac:dyDescent="0.25">
      <c r="A805" s="308">
        <v>43481</v>
      </c>
      <c r="B805" s="310">
        <v>1.1408</v>
      </c>
    </row>
    <row r="806" spans="1:2" x14ac:dyDescent="0.25">
      <c r="A806" s="308">
        <v>43482</v>
      </c>
      <c r="B806" s="310">
        <v>1.1386000000000001</v>
      </c>
    </row>
    <row r="807" spans="1:2" x14ac:dyDescent="0.25">
      <c r="A807" s="308">
        <v>43483</v>
      </c>
      <c r="B807" s="310">
        <v>1.1362000000000001</v>
      </c>
    </row>
    <row r="808" spans="1:2" x14ac:dyDescent="0.25">
      <c r="A808" s="308">
        <v>43486</v>
      </c>
      <c r="B808" s="309">
        <v>0</v>
      </c>
    </row>
    <row r="809" spans="1:2" x14ac:dyDescent="0.25">
      <c r="A809" s="308">
        <v>43487</v>
      </c>
      <c r="B809" s="310">
        <v>1.1358999999999999</v>
      </c>
    </row>
    <row r="810" spans="1:2" x14ac:dyDescent="0.25">
      <c r="A810" s="308">
        <v>43488</v>
      </c>
      <c r="B810" s="310">
        <v>1.139</v>
      </c>
    </row>
    <row r="811" spans="1:2" x14ac:dyDescent="0.25">
      <c r="A811" s="308">
        <v>43489</v>
      </c>
      <c r="B811" s="310">
        <v>1.1322000000000001</v>
      </c>
    </row>
    <row r="812" spans="1:2" x14ac:dyDescent="0.25">
      <c r="A812" s="308">
        <v>43490</v>
      </c>
      <c r="B812" s="310">
        <v>1.1407</v>
      </c>
    </row>
    <row r="813" spans="1:2" x14ac:dyDescent="0.25">
      <c r="A813" s="308">
        <v>43493</v>
      </c>
      <c r="B813" s="310">
        <v>1.1437999999999999</v>
      </c>
    </row>
    <row r="814" spans="1:2" x14ac:dyDescent="0.25">
      <c r="A814" s="308">
        <v>43494</v>
      </c>
      <c r="B814" s="310">
        <v>1.1424000000000001</v>
      </c>
    </row>
    <row r="815" spans="1:2" x14ac:dyDescent="0.25">
      <c r="A815" s="308">
        <v>43495</v>
      </c>
      <c r="B815" s="310">
        <v>1.1417999999999999</v>
      </c>
    </row>
    <row r="816" spans="1:2" x14ac:dyDescent="0.25">
      <c r="A816" s="308">
        <v>43496</v>
      </c>
      <c r="B816" s="310">
        <v>1.1454</v>
      </c>
    </row>
    <row r="817" spans="1:2" x14ac:dyDescent="0.25">
      <c r="A817" s="308">
        <v>43497</v>
      </c>
      <c r="B817" s="310">
        <v>1.1474</v>
      </c>
    </row>
  </sheetData>
  <hyperlinks>
    <hyperlink ref="A1" r:id="rId1" xr:uid="{2143AEB3-0181-43FF-A3EA-B5844C6EC85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Earnings Model</vt:lpstr>
      <vt:lpstr>Charts</vt:lpstr>
      <vt:lpstr>Std Dev</vt:lpstr>
      <vt:lpstr>USD-EUR</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2019-02-12T18:39:00Z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