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defaultThemeVersion="124226"/>
  <mc:AlternateContent xmlns:mc="http://schemas.openxmlformats.org/markup-compatibility/2006">
    <mc:Choice Requires="x15">
      <x15ac:absPath xmlns:x15ac="http://schemas.microsoft.com/office/spreadsheetml/2010/11/ac" url="C:\Users\Admin\Documents\Gutenberg\2-INTERN PROGRAM\2Q2020 Earnings Season (FB)\Intern Submissions\second round\"/>
    </mc:Choice>
  </mc:AlternateContent>
  <xr:revisionPtr revIDLastSave="0" documentId="13_ncr:1_{CD37B2CE-6736-4314-9015-323F2F2C92E7}" xr6:coauthVersionLast="45" xr6:coauthVersionMax="45" xr10:uidLastSave="{00000000-0000-0000-0000-000000000000}"/>
  <bookViews>
    <workbookView xWindow="-108" yWindow="-108" windowWidth="23256" windowHeight="13176" tabRatio="767" activeTab="1" xr2:uid="{00000000-000D-0000-FFFF-FFFF00000000}"/>
  </bookViews>
  <sheets>
    <sheet name="Instructions" sheetId="39" r:id="rId1"/>
    <sheet name="Earnings Model" sheetId="3" r:id="rId2"/>
    <sheet name="Charts" sheetId="21" r:id="rId3"/>
  </sheets>
  <definedNames>
    <definedName name="DATA" localSheetId="2">#REF!</definedName>
    <definedName name="DATA">#REF!</definedName>
    <definedName name="_xlnm.Print_Area" localSheetId="1">'Earnings Model'!$B$2:$AG$90</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5" i="3" l="1"/>
  <c r="D21" i="3" s="1"/>
  <c r="D20" i="3"/>
  <c r="D23" i="3"/>
  <c r="D25" i="3" s="1"/>
  <c r="E15" i="3"/>
  <c r="E20" i="3"/>
  <c r="E21" i="3"/>
  <c r="E23" i="3" s="1"/>
  <c r="E25" i="3" s="1"/>
  <c r="F15" i="3"/>
  <c r="F20" i="3"/>
  <c r="F21" i="3" s="1"/>
  <c r="G15" i="3"/>
  <c r="G17" i="3"/>
  <c r="G18" i="3"/>
  <c r="G19" i="3"/>
  <c r="G20" i="3"/>
  <c r="G24" i="3"/>
  <c r="I15" i="3"/>
  <c r="I21" i="3" s="1"/>
  <c r="I20" i="3"/>
  <c r="J15" i="3"/>
  <c r="J20" i="3"/>
  <c r="J21" i="3"/>
  <c r="J23" i="3" s="1"/>
  <c r="J25" i="3" s="1"/>
  <c r="K15" i="3"/>
  <c r="K20" i="3"/>
  <c r="K21" i="3" s="1"/>
  <c r="K23" i="3" s="1"/>
  <c r="K25" i="3" s="1"/>
  <c r="L15" i="3"/>
  <c r="L20" i="3"/>
  <c r="N15" i="3"/>
  <c r="N21" i="3" s="1"/>
  <c r="N23" i="3" s="1"/>
  <c r="N25" i="3" s="1"/>
  <c r="N20" i="3"/>
  <c r="O15" i="3"/>
  <c r="O20" i="3"/>
  <c r="O21" i="3"/>
  <c r="O23" i="3" s="1"/>
  <c r="P15" i="3"/>
  <c r="P20" i="3"/>
  <c r="P21" i="3" s="1"/>
  <c r="P23" i="3" s="1"/>
  <c r="P25" i="3" s="1"/>
  <c r="Q15" i="3"/>
  <c r="Q21" i="3" s="1"/>
  <c r="Q23" i="3" s="1"/>
  <c r="Q25" i="3" s="1"/>
  <c r="Q20" i="3"/>
  <c r="S15" i="3"/>
  <c r="S21" i="3" s="1"/>
  <c r="S20" i="3"/>
  <c r="S23" i="3"/>
  <c r="T15" i="3"/>
  <c r="T20" i="3"/>
  <c r="T21" i="3"/>
  <c r="T23" i="3" s="1"/>
  <c r="T25" i="3" s="1"/>
  <c r="U15" i="3"/>
  <c r="U20" i="3"/>
  <c r="U21" i="3" s="1"/>
  <c r="U23" i="3" s="1"/>
  <c r="U25" i="3" s="1"/>
  <c r="V13" i="3"/>
  <c r="V14" i="3"/>
  <c r="V17" i="3"/>
  <c r="V18" i="3"/>
  <c r="V19" i="3"/>
  <c r="V22" i="3"/>
  <c r="V24" i="3"/>
  <c r="X15" i="3"/>
  <c r="X21" i="3" s="1"/>
  <c r="X23" i="3" s="1"/>
  <c r="X76" i="3" s="1"/>
  <c r="AC76" i="3" s="1"/>
  <c r="AD76" i="3" s="1"/>
  <c r="X20" i="3"/>
  <c r="X25" i="3"/>
  <c r="T81" i="3"/>
  <c r="U81" i="3"/>
  <c r="V81" i="3"/>
  <c r="X81" i="3"/>
  <c r="T43" i="3"/>
  <c r="U43" i="3"/>
  <c r="V43" i="3"/>
  <c r="X43" i="3"/>
  <c r="Y42" i="3"/>
  <c r="T53" i="3"/>
  <c r="U53" i="3"/>
  <c r="V53" i="3"/>
  <c r="AA53" i="3" s="1"/>
  <c r="X53" i="3"/>
  <c r="Y52" i="3"/>
  <c r="Y36" i="3"/>
  <c r="T45" i="3"/>
  <c r="U45" i="3"/>
  <c r="Z45" i="3" s="1"/>
  <c r="V45" i="3"/>
  <c r="X45" i="3"/>
  <c r="Y44" i="3"/>
  <c r="Y37" i="3" s="1"/>
  <c r="T55" i="3"/>
  <c r="U55" i="3"/>
  <c r="V55" i="3"/>
  <c r="X55" i="3"/>
  <c r="Y54" i="3"/>
  <c r="T47" i="3"/>
  <c r="U47" i="3"/>
  <c r="Z47" i="3" s="1"/>
  <c r="AA47" i="3" s="1"/>
  <c r="V47" i="3"/>
  <c r="X47" i="3"/>
  <c r="Y46" i="3"/>
  <c r="T57" i="3"/>
  <c r="U57" i="3"/>
  <c r="V57" i="3"/>
  <c r="X57" i="3"/>
  <c r="Y56" i="3"/>
  <c r="T49" i="3"/>
  <c r="U49" i="3"/>
  <c r="Z49" i="3" s="1"/>
  <c r="V49" i="3"/>
  <c r="X49" i="3"/>
  <c r="Y48" i="3"/>
  <c r="T59" i="3"/>
  <c r="U59" i="3"/>
  <c r="V59" i="3"/>
  <c r="X59" i="3"/>
  <c r="Y58" i="3"/>
  <c r="Y39" i="3" s="1"/>
  <c r="Z42" i="3"/>
  <c r="Z52" i="3"/>
  <c r="Z54" i="3"/>
  <c r="Z46" i="3"/>
  <c r="Z56" i="3"/>
  <c r="Z58" i="3"/>
  <c r="AA43" i="3"/>
  <c r="AA52" i="3"/>
  <c r="AA55" i="3"/>
  <c r="AA54" i="3" s="1"/>
  <c r="AA46" i="3"/>
  <c r="AA57" i="3"/>
  <c r="AA59" i="3"/>
  <c r="AA58" i="3" s="1"/>
  <c r="AF58" i="3" s="1"/>
  <c r="AC53" i="3"/>
  <c r="AC52" i="3" s="1"/>
  <c r="AC47" i="3"/>
  <c r="AC46" i="3" s="1"/>
  <c r="AC59" i="3"/>
  <c r="AE59" i="3" s="1"/>
  <c r="AD53" i="3"/>
  <c r="AD47" i="3"/>
  <c r="AE47" i="3" s="1"/>
  <c r="AD59" i="3"/>
  <c r="AE58" i="3"/>
  <c r="AE70" i="3"/>
  <c r="AE71" i="3"/>
  <c r="AE72" i="3"/>
  <c r="AE76" i="3"/>
  <c r="AF59" i="3"/>
  <c r="AF70" i="3"/>
  <c r="AF76" i="3"/>
  <c r="H13" i="3"/>
  <c r="H14" i="3"/>
  <c r="H17" i="3"/>
  <c r="H18" i="3"/>
  <c r="H19" i="3"/>
  <c r="H22" i="3"/>
  <c r="H24" i="3"/>
  <c r="M13" i="3"/>
  <c r="M14" i="3"/>
  <c r="M15" i="3" s="1"/>
  <c r="M17" i="3"/>
  <c r="M18" i="3"/>
  <c r="M19" i="3"/>
  <c r="M20" i="3" s="1"/>
  <c r="M22" i="3"/>
  <c r="M24" i="3"/>
  <c r="R13" i="3"/>
  <c r="R14" i="3"/>
  <c r="R17" i="3"/>
  <c r="R18" i="3"/>
  <c r="R19" i="3"/>
  <c r="R20" i="3" s="1"/>
  <c r="R22" i="3"/>
  <c r="R24" i="3"/>
  <c r="W14" i="3"/>
  <c r="W17" i="3"/>
  <c r="W19" i="3"/>
  <c r="W24" i="3"/>
  <c r="T80" i="3"/>
  <c r="T82" i="3" s="1"/>
  <c r="U80" i="3"/>
  <c r="U82" i="3"/>
  <c r="U79" i="3"/>
  <c r="V80" i="3"/>
  <c r="V82" i="3" s="1"/>
  <c r="V79" i="3" s="1"/>
  <c r="X80" i="3"/>
  <c r="Z80" i="3"/>
  <c r="AA80" i="3"/>
  <c r="AC80" i="3"/>
  <c r="AD80" i="3"/>
  <c r="AE80" i="3" s="1"/>
  <c r="AF80" i="3" s="1"/>
  <c r="U31" i="3"/>
  <c r="X31" i="3"/>
  <c r="AD84" i="3"/>
  <c r="Y84" i="3"/>
  <c r="X69" i="3"/>
  <c r="X70" i="3"/>
  <c r="X71" i="3"/>
  <c r="X72" i="3"/>
  <c r="M73" i="3"/>
  <c r="H73" i="3"/>
  <c r="T76" i="3"/>
  <c r="U76" i="3"/>
  <c r="V78" i="3"/>
  <c r="V70" i="3"/>
  <c r="V71" i="3"/>
  <c r="V72" i="3"/>
  <c r="V89" i="3"/>
  <c r="V88" i="3"/>
  <c r="V87" i="3"/>
  <c r="V86" i="3"/>
  <c r="Y86" i="3" s="1"/>
  <c r="Z86" i="3" s="1"/>
  <c r="Y89" i="3"/>
  <c r="Z89" i="3"/>
  <c r="AA89" i="3"/>
  <c r="Y88" i="3"/>
  <c r="Z88" i="3" s="1"/>
  <c r="Y87" i="3"/>
  <c r="W89" i="3"/>
  <c r="W88" i="3"/>
  <c r="W87" i="3"/>
  <c r="W86" i="3"/>
  <c r="R87" i="3"/>
  <c r="R88" i="3"/>
  <c r="R89" i="3"/>
  <c r="R86" i="3"/>
  <c r="V26" i="3"/>
  <c r="U78" i="3"/>
  <c r="U70" i="3"/>
  <c r="U71" i="3"/>
  <c r="U72" i="3"/>
  <c r="U69" i="3"/>
  <c r="S53" i="3"/>
  <c r="P53" i="3"/>
  <c r="Q53" i="3"/>
  <c r="P43" i="3"/>
  <c r="Q43" i="3"/>
  <c r="S43" i="3"/>
  <c r="P45" i="3"/>
  <c r="Q45" i="3"/>
  <c r="S45" i="3"/>
  <c r="P55" i="3"/>
  <c r="Q55" i="3"/>
  <c r="S55" i="3"/>
  <c r="P47" i="3"/>
  <c r="Q47" i="3"/>
  <c r="S47" i="3"/>
  <c r="P57" i="3"/>
  <c r="Q57" i="3"/>
  <c r="S57" i="3"/>
  <c r="P49" i="3"/>
  <c r="Q49" i="3"/>
  <c r="S49" i="3"/>
  <c r="P59" i="3"/>
  <c r="Q59" i="3"/>
  <c r="S59" i="3"/>
  <c r="U40" i="3"/>
  <c r="P81" i="3"/>
  <c r="P82" i="3" s="1"/>
  <c r="P79" i="3" s="1"/>
  <c r="Q81" i="3"/>
  <c r="Q82" i="3" s="1"/>
  <c r="S82" i="3"/>
  <c r="S78" i="3" s="1"/>
  <c r="S79" i="3"/>
  <c r="V40" i="3"/>
  <c r="X40" i="3"/>
  <c r="P78" i="3"/>
  <c r="T72" i="3"/>
  <c r="T71" i="3"/>
  <c r="T70" i="3"/>
  <c r="T69" i="3"/>
  <c r="O43" i="3"/>
  <c r="O53" i="3"/>
  <c r="O45" i="3"/>
  <c r="O55" i="3"/>
  <c r="O47" i="3"/>
  <c r="O57" i="3"/>
  <c r="O49" i="3"/>
  <c r="O59" i="3"/>
  <c r="T40" i="3"/>
  <c r="O81" i="3"/>
  <c r="O82" i="3" s="1"/>
  <c r="T31" i="3"/>
  <c r="U66" i="3"/>
  <c r="V66" i="3"/>
  <c r="S66" i="3"/>
  <c r="T66" i="3"/>
  <c r="N53" i="3"/>
  <c r="X66" i="3"/>
  <c r="T67" i="3"/>
  <c r="U67" i="3"/>
  <c r="V67" i="3"/>
  <c r="S67" i="3"/>
  <c r="N66" i="3"/>
  <c r="S72" i="3"/>
  <c r="S71" i="3"/>
  <c r="S70" i="3"/>
  <c r="S69" i="3"/>
  <c r="N43" i="3"/>
  <c r="N45" i="3"/>
  <c r="N55" i="3"/>
  <c r="N47" i="3"/>
  <c r="N57" i="3"/>
  <c r="N49" i="3"/>
  <c r="N59" i="3"/>
  <c r="S40" i="3"/>
  <c r="N70" i="3"/>
  <c r="O70" i="3"/>
  <c r="P70" i="3"/>
  <c r="Q70" i="3"/>
  <c r="N71" i="3"/>
  <c r="O71" i="3"/>
  <c r="P71" i="3"/>
  <c r="Q71" i="3"/>
  <c r="N72" i="3"/>
  <c r="O72" i="3"/>
  <c r="P72" i="3"/>
  <c r="Q72" i="3"/>
  <c r="N81" i="3"/>
  <c r="Q66" i="3"/>
  <c r="O66" i="3"/>
  <c r="P66" i="3"/>
  <c r="R67" i="3"/>
  <c r="Q65" i="3"/>
  <c r="P65" i="3"/>
  <c r="O65" i="3"/>
  <c r="N65" i="3"/>
  <c r="I65" i="3"/>
  <c r="F65" i="3"/>
  <c r="G65" i="3"/>
  <c r="J65" i="3"/>
  <c r="K65" i="3"/>
  <c r="L65" i="3"/>
  <c r="E65" i="3"/>
  <c r="W84" i="3"/>
  <c r="N69" i="3"/>
  <c r="O69" i="3"/>
  <c r="P69" i="3"/>
  <c r="Q69" i="3"/>
  <c r="O74" i="3"/>
  <c r="Q74" i="3"/>
  <c r="P74" i="3"/>
  <c r="N74" i="3"/>
  <c r="I74" i="3"/>
  <c r="K74" i="3"/>
  <c r="L74" i="3"/>
  <c r="P76" i="3"/>
  <c r="Q76" i="3"/>
  <c r="Q40" i="3"/>
  <c r="Q62" i="3" s="1"/>
  <c r="P40" i="3"/>
  <c r="P62" i="3"/>
  <c r="O40" i="3"/>
  <c r="N40" i="3"/>
  <c r="N62" i="3"/>
  <c r="L40" i="3"/>
  <c r="K40" i="3"/>
  <c r="K62" i="3"/>
  <c r="J40" i="3"/>
  <c r="I40" i="3"/>
  <c r="I62" i="3"/>
  <c r="E40" i="3"/>
  <c r="E62" i="3" s="1"/>
  <c r="F40" i="3"/>
  <c r="F62" i="3"/>
  <c r="G40" i="3"/>
  <c r="G62" i="3" s="1"/>
  <c r="D40" i="3"/>
  <c r="D62" i="3"/>
  <c r="I81" i="3"/>
  <c r="J81" i="3"/>
  <c r="M81" i="3" s="1"/>
  <c r="K81" i="3"/>
  <c r="L81" i="3"/>
  <c r="L82" i="3"/>
  <c r="L78" i="3" s="1"/>
  <c r="J76" i="3"/>
  <c r="K76" i="3"/>
  <c r="E70" i="3"/>
  <c r="F70" i="3"/>
  <c r="G70" i="3"/>
  <c r="I70" i="3"/>
  <c r="J70" i="3"/>
  <c r="K70" i="3"/>
  <c r="L70" i="3"/>
  <c r="M70" i="3"/>
  <c r="R70" i="3"/>
  <c r="E71" i="3"/>
  <c r="F71" i="3"/>
  <c r="G71" i="3"/>
  <c r="H71" i="3"/>
  <c r="I71" i="3"/>
  <c r="J71" i="3"/>
  <c r="K71" i="3"/>
  <c r="L71" i="3"/>
  <c r="M71" i="3"/>
  <c r="R71" i="3"/>
  <c r="E72" i="3"/>
  <c r="F72" i="3"/>
  <c r="G72" i="3"/>
  <c r="I72" i="3"/>
  <c r="J72" i="3"/>
  <c r="K72" i="3"/>
  <c r="L72" i="3"/>
  <c r="M72" i="3"/>
  <c r="D72" i="3"/>
  <c r="D71" i="3"/>
  <c r="D70" i="3"/>
  <c r="E69" i="3"/>
  <c r="F69" i="3"/>
  <c r="G69" i="3"/>
  <c r="I69" i="3"/>
  <c r="J69" i="3"/>
  <c r="K69" i="3"/>
  <c r="M69" i="3"/>
  <c r="D69" i="3"/>
  <c r="V50" i="3"/>
  <c r="U50" i="3"/>
  <c r="T50" i="3"/>
  <c r="S50" i="3"/>
  <c r="Q50" i="3"/>
  <c r="P50" i="3"/>
  <c r="O50" i="3"/>
  <c r="P60" i="3" s="1"/>
  <c r="N50" i="3"/>
  <c r="L50" i="3"/>
  <c r="N60" i="3" s="1"/>
  <c r="F50" i="3"/>
  <c r="G50" i="3"/>
  <c r="G60" i="3"/>
  <c r="E50" i="3"/>
  <c r="F60" i="3" s="1"/>
  <c r="D50" i="3"/>
  <c r="J50" i="3"/>
  <c r="K60" i="3" s="1"/>
  <c r="K50" i="3"/>
  <c r="I50" i="3"/>
  <c r="L59" i="3"/>
  <c r="K59" i="3"/>
  <c r="J59" i="3"/>
  <c r="I59" i="3"/>
  <c r="L57" i="3"/>
  <c r="K57" i="3"/>
  <c r="J57" i="3"/>
  <c r="I57" i="3"/>
  <c r="L55" i="3"/>
  <c r="K55" i="3"/>
  <c r="J55" i="3"/>
  <c r="I55" i="3"/>
  <c r="J53" i="3"/>
  <c r="K53" i="3"/>
  <c r="L53" i="3"/>
  <c r="I53" i="3"/>
  <c r="L49" i="3"/>
  <c r="K49" i="3"/>
  <c r="J49" i="3"/>
  <c r="I49" i="3"/>
  <c r="L47" i="3"/>
  <c r="K47" i="3"/>
  <c r="J47" i="3"/>
  <c r="I47" i="3"/>
  <c r="L45" i="3"/>
  <c r="K45" i="3"/>
  <c r="J45" i="3"/>
  <c r="I45" i="3"/>
  <c r="L43" i="3"/>
  <c r="K43" i="3"/>
  <c r="J43" i="3"/>
  <c r="I43" i="3"/>
  <c r="AG26" i="3"/>
  <c r="AB84" i="3"/>
  <c r="AB26" i="3"/>
  <c r="W26" i="3"/>
  <c r="R26" i="3"/>
  <c r="Q27" i="3"/>
  <c r="P27" i="3"/>
  <c r="M26" i="3"/>
  <c r="K27" i="3"/>
  <c r="J27" i="3"/>
  <c r="H26" i="3"/>
  <c r="K82" i="3"/>
  <c r="J82" i="3"/>
  <c r="J78" i="3" s="1"/>
  <c r="I82" i="3"/>
  <c r="W81" i="3"/>
  <c r="P75" i="3"/>
  <c r="K75" i="3"/>
  <c r="J75" i="3"/>
  <c r="N75" i="3"/>
  <c r="O64" i="3"/>
  <c r="N64" i="3"/>
  <c r="L64" i="3"/>
  <c r="K64" i="3"/>
  <c r="I64" i="3"/>
  <c r="I78" i="3"/>
  <c r="P64" i="3"/>
  <c r="I79" i="3"/>
  <c r="E75" i="3"/>
  <c r="J64" i="3"/>
  <c r="M64" i="3"/>
  <c r="P30" i="3"/>
  <c r="P31" i="3"/>
  <c r="J31" i="3"/>
  <c r="J30" i="3"/>
  <c r="K31" i="3"/>
  <c r="K30" i="3"/>
  <c r="Q64" i="3"/>
  <c r="R64" i="3"/>
  <c r="Q75" i="3"/>
  <c r="E76" i="3"/>
  <c r="D75" i="3"/>
  <c r="I60" i="3"/>
  <c r="E60" i="3"/>
  <c r="S62" i="3"/>
  <c r="S60" i="3"/>
  <c r="H70" i="3"/>
  <c r="E31" i="3"/>
  <c r="E27" i="3"/>
  <c r="E30" i="3"/>
  <c r="X50" i="3"/>
  <c r="X60" i="3" s="1"/>
  <c r="D76" i="3"/>
  <c r="D31" i="3"/>
  <c r="D30" i="3"/>
  <c r="D27" i="3"/>
  <c r="T62" i="3"/>
  <c r="T60" i="3"/>
  <c r="V62" i="3"/>
  <c r="V60" i="3"/>
  <c r="Y50" i="3"/>
  <c r="S65" i="3"/>
  <c r="S64" i="3"/>
  <c r="S68" i="3"/>
  <c r="V65" i="3"/>
  <c r="V64" i="3"/>
  <c r="T65" i="3"/>
  <c r="T64" i="3"/>
  <c r="U65" i="3"/>
  <c r="U64" i="3"/>
  <c r="S74" i="3"/>
  <c r="S75" i="3"/>
  <c r="U74" i="3"/>
  <c r="X65" i="3"/>
  <c r="X64" i="3"/>
  <c r="V68" i="3"/>
  <c r="V74" i="3"/>
  <c r="U68" i="3"/>
  <c r="T68" i="3"/>
  <c r="X62" i="3"/>
  <c r="X74" i="3"/>
  <c r="X75" i="3"/>
  <c r="T75" i="3"/>
  <c r="U75" i="3"/>
  <c r="U27" i="3"/>
  <c r="T30" i="3"/>
  <c r="T27" i="3"/>
  <c r="X27" i="3"/>
  <c r="U30" i="3"/>
  <c r="X30" i="3"/>
  <c r="U62" i="3" l="1"/>
  <c r="U60" i="3"/>
  <c r="Z36" i="3"/>
  <c r="O25" i="3"/>
  <c r="O76" i="3"/>
  <c r="N31" i="3"/>
  <c r="N27" i="3"/>
  <c r="N30" i="3"/>
  <c r="F23" i="3"/>
  <c r="F75" i="3"/>
  <c r="X67" i="3"/>
  <c r="AC89" i="3"/>
  <c r="AB89" i="3"/>
  <c r="R15" i="3"/>
  <c r="R73" i="3"/>
  <c r="Z48" i="3"/>
  <c r="AA49" i="3"/>
  <c r="AC49" i="3" s="1"/>
  <c r="Z44" i="3"/>
  <c r="S25" i="3"/>
  <c r="S76" i="3"/>
  <c r="Q31" i="3"/>
  <c r="Q30" i="3"/>
  <c r="I23" i="3"/>
  <c r="I75" i="3"/>
  <c r="J79" i="3"/>
  <c r="N82" i="3"/>
  <c r="R81" i="3"/>
  <c r="Z87" i="3"/>
  <c r="AA87" i="3"/>
  <c r="T74" i="3"/>
  <c r="K79" i="3"/>
  <c r="K78" i="3"/>
  <c r="O62" i="3"/>
  <c r="O60" i="3"/>
  <c r="AD89" i="3"/>
  <c r="AE89" i="3" s="1"/>
  <c r="AF89" i="3" s="1"/>
  <c r="AD52" i="3"/>
  <c r="AE53" i="3"/>
  <c r="AE52" i="3" s="1"/>
  <c r="Z38" i="3"/>
  <c r="AE46" i="3"/>
  <c r="L79" i="3"/>
  <c r="L62" i="3"/>
  <c r="L60" i="3"/>
  <c r="W66" i="3"/>
  <c r="W67" i="3" s="1"/>
  <c r="Q78" i="3"/>
  <c r="Q79" i="3"/>
  <c r="AE84" i="3"/>
  <c r="H15" i="3"/>
  <c r="M74" i="3"/>
  <c r="J74" i="3"/>
  <c r="AD58" i="3"/>
  <c r="L21" i="3"/>
  <c r="L69" i="3"/>
  <c r="Q60" i="3"/>
  <c r="M82" i="3"/>
  <c r="O75" i="3"/>
  <c r="R72" i="3"/>
  <c r="J62" i="3"/>
  <c r="J60" i="3"/>
  <c r="N76" i="3"/>
  <c r="R74" i="3"/>
  <c r="O79" i="3"/>
  <c r="O78" i="3"/>
  <c r="AB87" i="3"/>
  <c r="AA86" i="3"/>
  <c r="AB86" i="3"/>
  <c r="AC86" i="3"/>
  <c r="AD86" i="3" s="1"/>
  <c r="T79" i="3"/>
  <c r="W82" i="3"/>
  <c r="T78" i="3"/>
  <c r="M21" i="3"/>
  <c r="H20" i="3"/>
  <c r="H72" i="3"/>
  <c r="AB88" i="3"/>
  <c r="AA88" i="3"/>
  <c r="AA42" i="3"/>
  <c r="AC55" i="3"/>
  <c r="AF53" i="3"/>
  <c r="AF52" i="3" s="1"/>
  <c r="AC43" i="3"/>
  <c r="Y81" i="3"/>
  <c r="X82" i="3"/>
  <c r="Z81" i="3"/>
  <c r="Y22" i="3"/>
  <c r="W22" i="3"/>
  <c r="AC58" i="3"/>
  <c r="AD55" i="3"/>
  <c r="AD54" i="3" s="1"/>
  <c r="AF47" i="3"/>
  <c r="AF46" i="3" s="1"/>
  <c r="AA45" i="3"/>
  <c r="V15" i="3"/>
  <c r="W13" i="3"/>
  <c r="AA56" i="3"/>
  <c r="AC57" i="3"/>
  <c r="Y38" i="3"/>
  <c r="Y40" i="3" s="1"/>
  <c r="AD46" i="3"/>
  <c r="V20" i="3"/>
  <c r="W18" i="3"/>
  <c r="G21" i="3"/>
  <c r="Y13" i="3" l="1"/>
  <c r="Y62" i="3"/>
  <c r="Y60" i="3"/>
  <c r="AC48" i="3"/>
  <c r="W20" i="3"/>
  <c r="W73" i="3"/>
  <c r="W74" i="3"/>
  <c r="Z82" i="3"/>
  <c r="Z37" i="3"/>
  <c r="R21" i="3"/>
  <c r="R69" i="3"/>
  <c r="W15" i="3"/>
  <c r="W64" i="3"/>
  <c r="X79" i="3"/>
  <c r="X78" i="3"/>
  <c r="AF86" i="3"/>
  <c r="L23" i="3"/>
  <c r="L75" i="3"/>
  <c r="AD45" i="3"/>
  <c r="AD44" i="3" s="1"/>
  <c r="AD37" i="3" s="1"/>
  <c r="AD49" i="3"/>
  <c r="AD48" i="3" s="1"/>
  <c r="AD39" i="3" s="1"/>
  <c r="Z50" i="3"/>
  <c r="AC56" i="3"/>
  <c r="AC38" i="3" s="1"/>
  <c r="AC42" i="3"/>
  <c r="AD57" i="3"/>
  <c r="AD56" i="3" s="1"/>
  <c r="AD38" i="3" s="1"/>
  <c r="V21" i="3"/>
  <c r="V69" i="3"/>
  <c r="Z22" i="3"/>
  <c r="AA22" i="3" s="1"/>
  <c r="AC22" i="3" s="1"/>
  <c r="AC54" i="3"/>
  <c r="AE55" i="3"/>
  <c r="AA36" i="3"/>
  <c r="Y78" i="3"/>
  <c r="AF84" i="3"/>
  <c r="AG84" i="3" s="1"/>
  <c r="AA38" i="3"/>
  <c r="I25" i="3"/>
  <c r="I76" i="3"/>
  <c r="S31" i="3"/>
  <c r="S27" i="3"/>
  <c r="S30" i="3"/>
  <c r="AA44" i="3"/>
  <c r="AD43" i="3"/>
  <c r="AD42" i="3" s="1"/>
  <c r="M23" i="3"/>
  <c r="M75" i="3"/>
  <c r="Z39" i="3"/>
  <c r="O27" i="3"/>
  <c r="O30" i="3"/>
  <c r="O31" i="3"/>
  <c r="G23" i="3"/>
  <c r="G75" i="3"/>
  <c r="Y82" i="3"/>
  <c r="AA81" i="3"/>
  <c r="AC88" i="3"/>
  <c r="AG86" i="3"/>
  <c r="AC87" i="3"/>
  <c r="H21" i="3"/>
  <c r="H69" i="3"/>
  <c r="N79" i="3"/>
  <c r="R82" i="3"/>
  <c r="N78" i="3"/>
  <c r="AC45" i="3"/>
  <c r="AC44" i="3" s="1"/>
  <c r="AC37" i="3" s="1"/>
  <c r="AA48" i="3"/>
  <c r="AG89" i="3"/>
  <c r="F25" i="3"/>
  <c r="F76" i="3"/>
  <c r="Z40" i="3"/>
  <c r="AE86" i="3"/>
  <c r="AB82" i="3" l="1"/>
  <c r="Z60" i="3"/>
  <c r="Z13" i="3"/>
  <c r="Z62" i="3"/>
  <c r="AA39" i="3"/>
  <c r="AA82" i="3"/>
  <c r="M25" i="3"/>
  <c r="M76" i="3"/>
  <c r="AC81" i="3"/>
  <c r="V23" i="3"/>
  <c r="V75" i="3"/>
  <c r="AC36" i="3"/>
  <c r="AC50" i="3"/>
  <c r="L25" i="3"/>
  <c r="L76" i="3"/>
  <c r="Z79" i="3"/>
  <c r="R23" i="3"/>
  <c r="R75" i="3"/>
  <c r="Y79" i="3"/>
  <c r="AC39" i="3"/>
  <c r="AD88" i="3"/>
  <c r="AE43" i="3"/>
  <c r="AE42" i="3" s="1"/>
  <c r="H23" i="3"/>
  <c r="H75" i="3"/>
  <c r="AD36" i="3"/>
  <c r="AD40" i="3" s="1"/>
  <c r="AD50" i="3"/>
  <c r="AG22" i="3"/>
  <c r="AD22" i="3"/>
  <c r="AE22" i="3" s="1"/>
  <c r="AF22" i="3" s="1"/>
  <c r="F27" i="3"/>
  <c r="F31" i="3"/>
  <c r="F30" i="3"/>
  <c r="AD81" i="3"/>
  <c r="AD82" i="3" s="1"/>
  <c r="I31" i="3"/>
  <c r="I27" i="3"/>
  <c r="I30" i="3"/>
  <c r="Y28" i="3"/>
  <c r="AE54" i="3"/>
  <c r="AF55" i="3"/>
  <c r="AF54" i="3" s="1"/>
  <c r="AB22" i="3"/>
  <c r="AA78" i="3"/>
  <c r="AC78" i="3"/>
  <c r="Z78" i="3"/>
  <c r="AD78" i="3" s="1"/>
  <c r="W21" i="3"/>
  <c r="W69" i="3"/>
  <c r="G76" i="3"/>
  <c r="G25" i="3"/>
  <c r="AE88" i="3"/>
  <c r="AF88" i="3" s="1"/>
  <c r="AD87" i="3"/>
  <c r="AB81" i="3"/>
  <c r="AE57" i="3"/>
  <c r="AE56" i="3" s="1"/>
  <c r="AE38" i="3" s="1"/>
  <c r="AA37" i="3"/>
  <c r="AA40" i="3" s="1"/>
  <c r="AA50" i="3"/>
  <c r="AF43" i="3"/>
  <c r="AF42" i="3" s="1"/>
  <c r="AE49" i="3"/>
  <c r="Y17" i="3"/>
  <c r="Y18" i="3"/>
  <c r="Y14" i="3"/>
  <c r="Y19" i="3"/>
  <c r="Y66" i="3"/>
  <c r="Y64" i="3"/>
  <c r="Y65" i="3"/>
  <c r="AE45" i="3"/>
  <c r="AE44" i="3" s="1"/>
  <c r="AE37" i="3" s="1"/>
  <c r="AA13" i="3" l="1"/>
  <c r="AA62" i="3"/>
  <c r="AA60" i="3"/>
  <c r="AG87" i="3"/>
  <c r="Y67" i="3"/>
  <c r="AG88" i="3"/>
  <c r="M31" i="3"/>
  <c r="M30" i="3"/>
  <c r="M27" i="3"/>
  <c r="AF36" i="3"/>
  <c r="AE36" i="3"/>
  <c r="L31" i="3"/>
  <c r="L27" i="3"/>
  <c r="L30" i="3"/>
  <c r="V25" i="3"/>
  <c r="V76" i="3"/>
  <c r="Y74" i="3"/>
  <c r="Y15" i="3"/>
  <c r="W23" i="3"/>
  <c r="W75" i="3"/>
  <c r="AE87" i="3"/>
  <c r="AF87" i="3" s="1"/>
  <c r="AF57" i="3"/>
  <c r="AF56" i="3" s="1"/>
  <c r="AF38" i="3" s="1"/>
  <c r="AD13" i="3"/>
  <c r="AD60" i="3"/>
  <c r="Y29" i="3"/>
  <c r="Z29" i="3" s="1"/>
  <c r="AA79" i="3"/>
  <c r="AC82" i="3"/>
  <c r="Z15" i="3"/>
  <c r="Z17" i="3"/>
  <c r="Z14" i="3"/>
  <c r="Z18" i="3"/>
  <c r="Z19" i="3"/>
  <c r="Z66" i="3"/>
  <c r="Z67" i="3" s="1"/>
  <c r="Z64" i="3"/>
  <c r="Z65" i="3"/>
  <c r="H25" i="3"/>
  <c r="H76" i="3"/>
  <c r="R25" i="3"/>
  <c r="R76" i="3"/>
  <c r="Y20" i="3"/>
  <c r="AE81" i="3"/>
  <c r="AE82" i="3" s="1"/>
  <c r="AE48" i="3"/>
  <c r="AE39" i="3" s="1"/>
  <c r="AF49" i="3"/>
  <c r="AF48" i="3" s="1"/>
  <c r="AF39" i="3" s="1"/>
  <c r="G31" i="3"/>
  <c r="G27" i="3"/>
  <c r="G30" i="3"/>
  <c r="AE78" i="3"/>
  <c r="AF78" i="3" s="1"/>
  <c r="Z28" i="3"/>
  <c r="AA28" i="3" s="1"/>
  <c r="AC28" i="3" s="1"/>
  <c r="AF45" i="3"/>
  <c r="AF44" i="3" s="1"/>
  <c r="AF37" i="3" s="1"/>
  <c r="AC40" i="3"/>
  <c r="AC79" i="3" l="1"/>
  <c r="AD79" i="3" s="1"/>
  <c r="R27" i="3"/>
  <c r="R31" i="3"/>
  <c r="R30" i="3"/>
  <c r="AF81" i="3"/>
  <c r="AF82" i="3" s="1"/>
  <c r="AD15" i="3"/>
  <c r="AD17" i="3"/>
  <c r="AD14" i="3"/>
  <c r="AD18" i="3"/>
  <c r="AD64" i="3"/>
  <c r="AD19" i="3"/>
  <c r="AD66" i="3"/>
  <c r="AD67" i="3" s="1"/>
  <c r="W25" i="3"/>
  <c r="W76" i="3"/>
  <c r="AF40" i="3"/>
  <c r="AC13" i="3"/>
  <c r="AC62" i="3"/>
  <c r="AC60" i="3"/>
  <c r="Z74" i="3"/>
  <c r="AG81" i="3"/>
  <c r="AA29" i="3"/>
  <c r="AC29" i="3" s="1"/>
  <c r="Y21" i="3"/>
  <c r="V31" i="3"/>
  <c r="V30" i="3"/>
  <c r="V27" i="3"/>
  <c r="AE50" i="3"/>
  <c r="AB66" i="3"/>
  <c r="AB67" i="3" s="1"/>
  <c r="AF50" i="3"/>
  <c r="AD28" i="3"/>
  <c r="AE28" i="3" s="1"/>
  <c r="AF28" i="3" s="1"/>
  <c r="H30" i="3"/>
  <c r="H31" i="3"/>
  <c r="H27" i="3"/>
  <c r="Z20" i="3"/>
  <c r="Z21" i="3" s="1"/>
  <c r="AG82" i="3"/>
  <c r="AD62" i="3"/>
  <c r="AB14" i="3"/>
  <c r="AE40" i="3"/>
  <c r="AA18" i="3"/>
  <c r="AB18" i="3" s="1"/>
  <c r="AA14" i="3"/>
  <c r="AA19" i="3"/>
  <c r="AB19" i="3" s="1"/>
  <c r="AA15" i="3"/>
  <c r="AA66" i="3"/>
  <c r="AA67" i="3" s="1"/>
  <c r="AA64" i="3"/>
  <c r="AA17" i="3"/>
  <c r="AA65" i="3"/>
  <c r="AB13" i="3"/>
  <c r="Z23" i="3" l="1"/>
  <c r="Z75" i="3"/>
  <c r="AE79" i="3"/>
  <c r="AF79" i="3" s="1"/>
  <c r="AA20" i="3"/>
  <c r="AB17" i="3"/>
  <c r="AB20" i="3" s="1"/>
  <c r="Y23" i="3"/>
  <c r="Y75" i="3"/>
  <c r="AC17" i="3"/>
  <c r="AC18" i="3"/>
  <c r="AC19" i="3"/>
  <c r="AC66" i="3"/>
  <c r="AC14" i="3"/>
  <c r="AC64" i="3"/>
  <c r="AC65" i="3"/>
  <c r="AA21" i="3"/>
  <c r="AE13" i="3"/>
  <c r="AE62" i="3"/>
  <c r="AE60" i="3"/>
  <c r="AA74" i="3"/>
  <c r="AD29" i="3"/>
  <c r="AE29" i="3" s="1"/>
  <c r="AF13" i="3"/>
  <c r="AF62" i="3"/>
  <c r="AF60" i="3"/>
  <c r="AD74" i="3"/>
  <c r="W27" i="3"/>
  <c r="W28" i="3"/>
  <c r="W30" i="3" s="1"/>
  <c r="W29" i="3"/>
  <c r="W31" i="3" s="1"/>
  <c r="AB74" i="3"/>
  <c r="AB15" i="3"/>
  <c r="AB64" i="3"/>
  <c r="AD65" i="3"/>
  <c r="AD20" i="3"/>
  <c r="AD21" i="3" s="1"/>
  <c r="AD23" i="3" l="1"/>
  <c r="AD75" i="3"/>
  <c r="AB21" i="3"/>
  <c r="AB69" i="3"/>
  <c r="AF29" i="3"/>
  <c r="AE17" i="3"/>
  <c r="AE19" i="3"/>
  <c r="AG19" i="3" s="1"/>
  <c r="AE14" i="3"/>
  <c r="AE74" i="3" s="1"/>
  <c r="AE18" i="3"/>
  <c r="AG18" i="3" s="1"/>
  <c r="AE64" i="3"/>
  <c r="AE65" i="3"/>
  <c r="AE66" i="3"/>
  <c r="AE67" i="3" s="1"/>
  <c r="AC74" i="3"/>
  <c r="AG13" i="3"/>
  <c r="Y24" i="3"/>
  <c r="Y25" i="3"/>
  <c r="AA23" i="3"/>
  <c r="AA75" i="3"/>
  <c r="AC67" i="3"/>
  <c r="AC20" i="3"/>
  <c r="AG17" i="3"/>
  <c r="AF14" i="3"/>
  <c r="AF18" i="3"/>
  <c r="AF15" i="3"/>
  <c r="AF19" i="3"/>
  <c r="AF17" i="3"/>
  <c r="AF65" i="3"/>
  <c r="AF64" i="3"/>
  <c r="AF66" i="3"/>
  <c r="AF67" i="3" s="1"/>
  <c r="AC15" i="3"/>
  <c r="Z24" i="3"/>
  <c r="Z25" i="3"/>
  <c r="AG20" i="3" l="1"/>
  <c r="AC21" i="3"/>
  <c r="Y31" i="3"/>
  <c r="Y27" i="3"/>
  <c r="Y30" i="3"/>
  <c r="AG14" i="3"/>
  <c r="AE20" i="3"/>
  <c r="Z30" i="3"/>
  <c r="Z27" i="3"/>
  <c r="Z31" i="3"/>
  <c r="AG15" i="3"/>
  <c r="AG64" i="3"/>
  <c r="AD24" i="3"/>
  <c r="AD25" i="3"/>
  <c r="AF21" i="3"/>
  <c r="AA24" i="3"/>
  <c r="AA25" i="3" s="1"/>
  <c r="AE15" i="3"/>
  <c r="AB75" i="3"/>
  <c r="AB23" i="3"/>
  <c r="AF20" i="3"/>
  <c r="AF74" i="3"/>
  <c r="AG66" i="3"/>
  <c r="AG67" i="3" s="1"/>
  <c r="AB24" i="3"/>
  <c r="AB76" i="3" s="1"/>
  <c r="AA30" i="3" l="1"/>
  <c r="AA27" i="3"/>
  <c r="AA31" i="3"/>
  <c r="AB25" i="3"/>
  <c r="AG21" i="3"/>
  <c r="AG69" i="3"/>
  <c r="AE21" i="3"/>
  <c r="AG73" i="3"/>
  <c r="AG74" i="3"/>
  <c r="AC75" i="3"/>
  <c r="AC23" i="3"/>
  <c r="AF23" i="3"/>
  <c r="AF75" i="3"/>
  <c r="AD30" i="3"/>
  <c r="AD27" i="3"/>
  <c r="AD31" i="3"/>
  <c r="AF24" i="3" l="1"/>
  <c r="AF25" i="3" s="1"/>
  <c r="AB28" i="3"/>
  <c r="AB30" i="3" s="1"/>
  <c r="AB27" i="3"/>
  <c r="AB29" i="3"/>
  <c r="AB31" i="3" s="1"/>
  <c r="AC24" i="3"/>
  <c r="AE23" i="3"/>
  <c r="AE75" i="3"/>
  <c r="AG23" i="3"/>
  <c r="AG75" i="3"/>
  <c r="AF27" i="3" l="1"/>
  <c r="AF30" i="3"/>
  <c r="AF31" i="3"/>
  <c r="AE24" i="3"/>
  <c r="AG24" i="3" s="1"/>
  <c r="AC25" i="3"/>
  <c r="AG76" i="3" l="1"/>
  <c r="AG25" i="3"/>
  <c r="AC31" i="3"/>
  <c r="AC30" i="3"/>
  <c r="AC27" i="3"/>
  <c r="AE25" i="3"/>
  <c r="AG28" i="3" s="1"/>
  <c r="AG29" i="3" l="1"/>
  <c r="AG31" i="3"/>
  <c r="AG30" i="3"/>
  <c r="AG27" i="3"/>
  <c r="AE30" i="3"/>
  <c r="AE27" i="3"/>
  <c r="AE3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T19" authorId="0" shapeId="0" xr:uid="{00000000-0006-0000-0100-000001000000}">
      <text>
        <r>
          <rPr>
            <b/>
            <sz val="9"/>
            <color indexed="81"/>
            <rFont val="Tahoma"/>
            <family val="2"/>
          </rPr>
          <t>2Q2019 Earnings Call Guidance:</t>
        </r>
        <r>
          <rPr>
            <sz val="9"/>
            <color indexed="81"/>
            <rFont val="Tahoma"/>
            <family val="2"/>
          </rPr>
          <t xml:space="preserve"> "And then if you look at the G&amp;A line, obviously, that was impacted by the accrual for the FTC settlement as well as some other legal expenses, including the SEC settlement. So you have some G&amp;A expenses that were higher in the quarter as a
result of that."</t>
        </r>
      </text>
    </comment>
    <comment ref="Y31" authorId="0" shapeId="0" xr:uid="{00000000-0006-0000-0100-000002000000}">
      <text>
        <r>
          <rPr>
            <b/>
            <sz val="9"/>
            <color indexed="81"/>
            <rFont val="Tahoma"/>
            <family val="2"/>
          </rPr>
          <t xml:space="preserve">Primary Output: </t>
        </r>
        <r>
          <rPr>
            <sz val="9"/>
            <color indexed="81"/>
            <rFont val="Tahoma"/>
            <family val="2"/>
          </rPr>
          <t>After you adjust the Primary Inputs in the model below, your new earnings forecast will recalculate based on the new assumptions resulting in a new EPS estimate, and theoretical target share price band.</t>
        </r>
      </text>
    </comment>
    <comment ref="Y43" authorId="0" shapeId="0" xr:uid="{00000000-0006-0000-0100-000003000000}">
      <text>
        <r>
          <rPr>
            <b/>
            <sz val="9"/>
            <color indexed="81"/>
            <rFont val="Tahoma"/>
            <family val="2"/>
          </rPr>
          <t xml:space="preserve">Primary Input: </t>
        </r>
        <r>
          <rPr>
            <sz val="9"/>
            <color indexed="81"/>
            <rFont val="Tahoma"/>
            <family val="2"/>
          </rPr>
          <t>If you believe that new users will join the Facebook platforms, increase these growth rates for the various regions. If you believe users will leave, or begin to use Facebook less then monthly, decrease the growth rates.</t>
        </r>
      </text>
    </comment>
    <comment ref="Y53" authorId="0" shapeId="0" xr:uid="{00000000-0006-0000-0100-000004000000}">
      <text>
        <r>
          <rPr>
            <b/>
            <sz val="9"/>
            <color indexed="81"/>
            <rFont val="Tahoma"/>
            <family val="2"/>
          </rPr>
          <t xml:space="preserve">Primary Input: </t>
        </r>
        <r>
          <rPr>
            <sz val="9"/>
            <color indexed="81"/>
            <rFont val="Tahoma"/>
            <family val="2"/>
          </rPr>
          <t>If you believe there will be an increase in user engagement number ads, quality, relevance and performance of ads, than increase the future ARPU estimates for the various regions. If not decrease the ARPU.</t>
        </r>
      </text>
    </comment>
    <comment ref="S64" authorId="0" shapeId="0" xr:uid="{00000000-0006-0000-0100-000005000000}">
      <text>
        <r>
          <rPr>
            <b/>
            <sz val="9"/>
            <color indexed="81"/>
            <rFont val="Tahoma"/>
            <family val="2"/>
          </rPr>
          <t xml:space="preserve">1Q2019 Earnings Call: </t>
        </r>
        <r>
          <rPr>
            <sz val="9"/>
            <color indexed="81"/>
            <rFont val="Tahoma"/>
            <family val="2"/>
          </rPr>
          <t xml:space="preserve">"In Q1, the average price per ad decreased 4% and the number of ad impressions served across our services increased 32%. Impression growth was primarily driven by ads on Instagram Stories, Instagram Feed, and Facebook News Feed. The year-over-year decline in average price per ad reflects an ongoing mix shift towards Stories ads and geographies that monetize at lower rates."
"We are seeing more of our impression growth coming from Stories, and when I outlined the factors driving impression growth, I listed Stories first. It was the largest contributor of year-over-year impression growth in the quarter. But those impressions are coming in at lower prices than we see in feed. If anything, the mix shift on growth towards Stories is certainly in the near term a headwind on revenue growth."
"On the first comment, I would say we're very early on Facebook Messenger monetization, so we do have revenue there, but it's a very small contributor, and WhatsApp -- there's no revenue at WhatsApp related to ads at this point. And Mark has outlined the priorities for messaging, and that's privacy and interoperability. And if anything, the focus that Mark and the product team have on those two areas has de-prioritized monetization as it relates to messaging. And so at least in the near term, that's -- I would say the monetization side is lower priority."
"On the revenue growth for -- for North America, we're seeing good growth there. Obviously, Instagram is a big contributor. We talked about Stories on Instagram. Also, Feed on Instagram has been strong, and we've benefited year over year on Feed ad load growth on Instagram. That's going to be -- we did ramp Feed on Instagram last year, so we've seen that contribute to growth.
But at the level it is at currently, we don't have that lever as strong going forward. So that's like contributor to -- deceleration on growth in North America and across the world."
"And then I would say pricing -- is obviously a big lever of growth in North America. And I'd say pricing is the area where we have been very successful with ad targeting, and the area where we correspondingly see a lot of risk going forward, and I outlined the areas of risk there being the regulatory landscape and the increase of things like opt-outs on third-party tracking and also the platform headwinds, particularly things that could impact both targeting and measurement. So that we believe will play an impact to decelerating revenue growth and impact our ability to kind of increasing -- get those same gains we've gotten on the pricing side."
</t>
        </r>
      </text>
    </comment>
    <comment ref="B67" authorId="0" shapeId="0" xr:uid="{00000000-0006-0000-0100-000006000000}">
      <text>
        <r>
          <rPr>
            <sz val="9"/>
            <color indexed="81"/>
            <rFont val="Tahoma"/>
            <family val="2"/>
          </rPr>
          <t>"So FX is going to play out in different ways over the course of the year, depending on the compare. I mean, a good proxy is looking at sort of euro versus dollar, but that's our largest non-U.S. currency. But obviously we've got other currency impacts, as well."
-Dave Wehner, CFO 4Q2019 follow-up call 1/30/2019 6:45pm</t>
        </r>
      </text>
    </comment>
    <comment ref="W67" authorId="0" shapeId="0" xr:uid="{00000000-0006-0000-0100-000007000000}">
      <text>
        <r>
          <rPr>
            <b/>
            <sz val="9"/>
            <color indexed="81"/>
            <rFont val="Tahoma"/>
            <family val="2"/>
          </rPr>
          <t xml:space="preserve">2Q2019 Earnings Call Guidance: </t>
        </r>
        <r>
          <rPr>
            <sz val="9"/>
            <color indexed="81"/>
            <rFont val="Tahoma"/>
            <family val="2"/>
          </rPr>
          <t>"We executed well in Q2 with a number of optimizations and product wins, particularly with the Facebook app, that fell in our favor and helped combat the overall trend of deceleration. However, we continue to expect that our constant currency revenue growth rates will decelerate sequentially going forward. We also expect more pronounced deceleration in the fourth quarter and into 2020, partially driven by ad targeting related headwinds and uncertainties."</t>
        </r>
        <r>
          <rPr>
            <b/>
            <sz val="9"/>
            <color indexed="81"/>
            <rFont val="Tahoma"/>
            <family val="2"/>
          </rPr>
          <t xml:space="preserve">
Prior Gudiance:
1Q2019 Earnings Call Guidance: </t>
        </r>
        <r>
          <rPr>
            <sz val="9"/>
            <color indexed="81"/>
            <rFont val="Tahoma"/>
            <family val="2"/>
          </rPr>
          <t>"We continue to expect that our revenue growth rates will decelerate sequentially throughout 2019 on a constant currency basis. In addition, we anticipate ad targeting related headwinds will be more pronounced in the second half of 2019." 
"And then, Dave, just to come back to your comments about revenue for the year you mentioned the ad targeting headwinds would be more pronounced in the second half. Can you help us better understand why that is, the sort of changes to expect that would drive that? " 
"We already talked about on the supply side the impact that Stories is having. And the supply growth really getting driven by Stories is coming through at lower prices, so that's one of the factors that factors into the lower growth outlook for the second half.
But on the demand side, want to specifically call out several factors that are contributing to ad targeting headwinds. The first is just the evolution of the regulatory landscape, and here I would point to regulations like GDPR. The number of people who have opted out on using context from the apps and Web Sites they visit for ad targeting has continued to increase since the adoption of GDPR so we've
seen that come up both in Europe and around the world. That means those people are seeing new less relevant ads and that's an ad targeting headwind for our business.
The second factor is just anticipated changes that mobile platforms will make that will make targeting and measurement more difficult. And the third is Facebook -- our own product changes. For example, in the fall we plan to roll out our tool for seeing and clearing your off-Facebook browsing history. In addition, we've introduced restrictions on the use of certain targeting criteria from some ads. We're seeing a cumulative impact from all of these factors leading to -- leading to what we expect to be targeting headwinds for the -- for the back half of the year"</t>
        </r>
        <r>
          <rPr>
            <b/>
            <sz val="9"/>
            <color indexed="81"/>
            <rFont val="Tahoma"/>
            <family val="2"/>
          </rPr>
          <t xml:space="preserve">
4Q2018 Earnings call guidance: </t>
        </r>
        <r>
          <rPr>
            <sz val="9"/>
            <color indexed="81"/>
            <rFont val="Tahoma"/>
            <family val="2"/>
          </rPr>
          <t>"In Q1, we expect our total revenue growth rate to decelerate by a mid-single digit percentage on a constant currency basis compared to the Q4 rate. We also expect that our revenue growth rates will continue to decelerate sequentially throughout 2019 on a constant currency basis."
"We don't expect -- the strength in Q4 to play into Q1, which is why we've talked about the mid-single-digit deceleration in constant currency revenue growth going into Q1. And then the overall -- deceleration we expect to continue sequentially throughout 2019. You know, some of the factors there are the fact that we're seeing increasing dependence on Stories impression growth in 2019 versus 2018, because we're at sort of levels of feed ad load in both Instagram and Facebook which are healthy, but we don't expect to provide it as much opportunity going forward."
-Dave Wehner, CFO 4Q2019 follow-up call 1/30/2019 6:45pm</t>
        </r>
      </text>
    </comment>
    <comment ref="Y69" authorId="0" shapeId="0" xr:uid="{00000000-0006-0000-0100-000008000000}">
      <text>
        <r>
          <rPr>
            <b/>
            <sz val="9"/>
            <color indexed="81"/>
            <rFont val="Tahoma"/>
            <family val="2"/>
          </rPr>
          <t xml:space="preserve">Primary Input: </t>
        </r>
        <r>
          <rPr>
            <sz val="9"/>
            <color indexed="81"/>
            <rFont val="Tahoma"/>
            <family val="2"/>
          </rPr>
          <t xml:space="preserve">If you believe the cost to operate data centers, SBC, energy, bandwith costs, and TAC will increase, decrease the gross margin estimate. If not increase the estimate. </t>
        </r>
      </text>
    </comment>
    <comment ref="AB73" authorId="0" shapeId="0" xr:uid="{00000000-0006-0000-0100-000009000000}">
      <text>
        <r>
          <rPr>
            <b/>
            <sz val="9"/>
            <color indexed="81"/>
            <rFont val="Tahoma"/>
            <family val="2"/>
          </rPr>
          <t>Management Guidance:</t>
        </r>
        <r>
          <rPr>
            <sz val="9"/>
            <color indexed="81"/>
            <rFont val="Tahoma"/>
            <family val="2"/>
          </rPr>
          <t xml:space="preserve"> "We expect total expenses in 2020 to be between $52-56 billion, down from the prior range of $54-59 billion."
</t>
        </r>
        <r>
          <rPr>
            <b/>
            <sz val="9"/>
            <color indexed="81"/>
            <rFont val="Tahoma"/>
            <family val="2"/>
          </rPr>
          <t xml:space="preserve">Source: </t>
        </r>
        <r>
          <rPr>
            <sz val="9"/>
            <color indexed="81"/>
            <rFont val="Tahoma"/>
            <family val="2"/>
          </rPr>
          <t>1Q2020 earnings conference call</t>
        </r>
      </text>
    </comment>
    <comment ref="W74" authorId="0" shapeId="0" xr:uid="{00000000-0006-0000-0100-00000A000000}">
      <text>
        <r>
          <rPr>
            <b/>
            <sz val="9"/>
            <color indexed="81"/>
            <rFont val="Tahoma"/>
            <family val="2"/>
          </rPr>
          <t xml:space="preserve">2Q2019 Earnings Call Guidance: </t>
        </r>
        <r>
          <rPr>
            <sz val="9"/>
            <color indexed="81"/>
            <rFont val="Tahoma"/>
            <family val="2"/>
          </rPr>
          <t>"We anticipate full-year 2019 expenses to grow 53-61% compared to 2018. The $5B in accruals we recorded in the first half of 2019 related to the FTC settlement represents approximately 16 percentage points of this anticipated expense growth. Absent the $2B accrual we recorded in Q2, our 2019 expense outlook is essentially  unchanged from last quarter."</t>
        </r>
        <r>
          <rPr>
            <b/>
            <sz val="9"/>
            <color indexed="81"/>
            <rFont val="Tahoma"/>
            <family val="2"/>
          </rPr>
          <t xml:space="preserve">
Prior Guidance:
1Q2019 Earnings Call Guidance: </t>
        </r>
        <r>
          <rPr>
            <sz val="9"/>
            <color indexed="81"/>
            <rFont val="Tahoma"/>
            <family val="2"/>
          </rPr>
          <t>"Turning now to the expense outlook. We are adjusting our expense outlook which now includes the accrual we recorded in Q1. We now anticipate full-year 2019 total expenses to grow 47-55% compared to 2018, up from our prior guidance of 40-50% growth. The $3B accrual accounts for approximately 10% points of the anticipated expense growth. But excluding the accrual, this revised outlook implies a modest reduction in our 2019 core expense growth rate. Note that this does not change our longer-term outlook on the need to invest in core product, infrastructure, innovation, and safety &amp; security, and the ultimate impact of those investments on our operating margin."</t>
        </r>
        <r>
          <rPr>
            <b/>
            <sz val="9"/>
            <color indexed="81"/>
            <rFont val="Tahoma"/>
            <family val="2"/>
          </rPr>
          <t xml:space="preserve">
4Q2018 Earnings call guidance: "</t>
        </r>
        <r>
          <rPr>
            <sz val="9"/>
            <color indexed="81"/>
            <rFont val="Tahoma"/>
            <family val="2"/>
          </rPr>
          <t>On a full-year basis, we continue to expect 2019 total expenses will grow approximately 40-50% compared to 2018."
"I would note that the 62 percent expense growth that we saw in Q4 we don't expect to continue. You know, there's the continuing underlying secular factors that are driving the expense growth rate. That's the investment in infrastructure, which is
flowing through cost of revenue, the innovation investments in things like AR and VR. Some of that is in cost of revenue as well as we shift products, and then safety and security investments we're making in terms of ramping a lot of the operating expenses related to that. So -- but in Q4, in addition to that sort of secular growth, we also saw a spike in seasonal spend, especially in marketing to support the efforts of Portal and
Oculus Go. I think I called that out on the call. And that's -- so we would expect that to tick down in 2019, so I wouldn't expect that 62 percent growth rate into Q1."
-Dave Wehner, CFO 4Q2019 follow-up call 1/30/2019 6:45pm</t>
        </r>
      </text>
    </comment>
    <comment ref="S76" authorId="0" shapeId="0" xr:uid="{00000000-0006-0000-0100-00000B000000}">
      <text>
        <r>
          <rPr>
            <b/>
            <sz val="9"/>
            <color indexed="81"/>
            <rFont val="Tahoma"/>
            <family val="2"/>
          </rPr>
          <t>1Q2019 Earnings Call:</t>
        </r>
        <r>
          <rPr>
            <sz val="9"/>
            <color indexed="81"/>
            <rFont val="Tahoma"/>
            <family val="2"/>
          </rPr>
          <t xml:space="preserve"> "Our Q1 tax rate was 30% and was higher than the mid-teens guidance given the tax treatment of the accrual."
</t>
        </r>
        <r>
          <rPr>
            <b/>
            <sz val="9"/>
            <color indexed="81"/>
            <rFont val="Tahoma"/>
            <family val="2"/>
          </rPr>
          <t xml:space="preserve">1Q2019 Earnings Call: </t>
        </r>
        <r>
          <rPr>
            <sz val="9"/>
            <color indexed="81"/>
            <rFont val="Tahoma"/>
            <family val="2"/>
          </rPr>
          <t>"Total expenses were $11.8 billion, up 80%. This includes a $3 billion accrual taken in connection with the inquiry of the Federal Trade Commission into our platform and user data practices. This matter remains unresolved, and we estimate that the associated range of loss is between $3 billion and $5 billion.
Absent this accrual our total expense growth rate would have been 46% points lower."</t>
        </r>
      </text>
    </comment>
    <comment ref="W76" authorId="0" shapeId="0" xr:uid="{00000000-0006-0000-0100-00000C000000}">
      <text>
        <r>
          <rPr>
            <b/>
            <sz val="9"/>
            <color indexed="81"/>
            <rFont val="Tahoma"/>
            <family val="2"/>
          </rPr>
          <t xml:space="preserve">2Q2019 Earnings call guidance: </t>
        </r>
        <r>
          <rPr>
            <sz val="9"/>
            <color indexed="81"/>
            <rFont val="Tahoma"/>
            <family val="2"/>
          </rPr>
          <t xml:space="preserve">"We expect our tax rate for the remaining quarters of 2019 to be approximately 16%."
</t>
        </r>
        <r>
          <rPr>
            <b/>
            <sz val="9"/>
            <color indexed="81"/>
            <rFont val="Tahoma"/>
            <family val="2"/>
          </rPr>
          <t xml:space="preserve">
Prior guidance:
1Q2019 Earnings call guidance: </t>
        </r>
        <r>
          <rPr>
            <sz val="9"/>
            <color indexed="81"/>
            <rFont val="Tahoma"/>
            <family val="2"/>
          </rPr>
          <t>"We expect our tax rate for the remaining quarters of 2019 to be in the mid-teens."</t>
        </r>
        <r>
          <rPr>
            <b/>
            <sz val="9"/>
            <color indexed="81"/>
            <rFont val="Tahoma"/>
            <family val="2"/>
          </rPr>
          <t xml:space="preserve">
4Q2018 Earnings call guidance:</t>
        </r>
        <r>
          <rPr>
            <sz val="9"/>
            <color indexed="81"/>
            <rFont val="Tahoma"/>
            <family val="2"/>
          </rPr>
          <t xml:space="preserve"> "we expect that our 2019 tax rate will be a few percentage points higher than our 2018 rate."</t>
        </r>
      </text>
    </comment>
    <comment ref="AB76" authorId="0" shapeId="0" xr:uid="{00000000-0006-0000-0100-00000D000000}">
      <text>
        <r>
          <rPr>
            <b/>
            <sz val="9"/>
            <color indexed="81"/>
            <rFont val="Tahoma"/>
            <family val="2"/>
          </rPr>
          <t xml:space="preserve">Management Guidance: </t>
        </r>
        <r>
          <rPr>
            <sz val="9"/>
            <color indexed="81"/>
            <rFont val="Tahoma"/>
            <family val="2"/>
          </rPr>
          <t xml:space="preserve">"We expect our full-year 2020 tax rate will be in the high-teens, although we may see fluctuations in our quarterly rate depending on our financial results."
</t>
        </r>
        <r>
          <rPr>
            <b/>
            <sz val="9"/>
            <color indexed="81"/>
            <rFont val="Tahoma"/>
            <family val="2"/>
          </rPr>
          <t>Source:</t>
        </r>
        <r>
          <rPr>
            <sz val="9"/>
            <color indexed="81"/>
            <rFont val="Tahoma"/>
            <family val="2"/>
          </rPr>
          <t xml:space="preserve"> 1Q2020 earnings conference call</t>
        </r>
      </text>
    </comment>
  </commentList>
</comments>
</file>

<file path=xl/sharedStrings.xml><?xml version="1.0" encoding="utf-8"?>
<sst xmlns="http://schemas.openxmlformats.org/spreadsheetml/2006/main" count="439" uniqueCount="157">
  <si>
    <t>Basic shares outstanding</t>
  </si>
  <si>
    <t xml:space="preserve">Diluted shares outstanding </t>
  </si>
  <si>
    <t>Effective tax rate</t>
  </si>
  <si>
    <t>(Dollars in millions, except per share data)</t>
  </si>
  <si>
    <t>Operating margin (GAAP)</t>
  </si>
  <si>
    <t>Share repurchase assumptions: average price</t>
  </si>
  <si>
    <t>Share repurchase: amount in the period ($M)</t>
  </si>
  <si>
    <t>Provisions for income tax</t>
  </si>
  <si>
    <t xml:space="preserve">Net income </t>
  </si>
  <si>
    <t xml:space="preserve">Basic EPS </t>
  </si>
  <si>
    <t xml:space="preserve">Diluted EPS </t>
  </si>
  <si>
    <t>Total operating expenses</t>
  </si>
  <si>
    <t>Change in basic shares  (excluding repurchases)</t>
  </si>
  <si>
    <t>Change in diluted shares  (excluding repurchases)</t>
  </si>
  <si>
    <t>By obtaining this model you are deemed to have read and agreed to our Terms of Use. Visit our website for details: https://www.gutenbergresearch.com/terms-of-use.html</t>
  </si>
  <si>
    <t>GR</t>
  </si>
  <si>
    <t>Ratio Analysis</t>
  </si>
  <si>
    <t>Shares repurchased (in millions)</t>
  </si>
  <si>
    <t>Share Count Analysis</t>
  </si>
  <si>
    <t>Revenue</t>
  </si>
  <si>
    <t>Total Revenue</t>
  </si>
  <si>
    <t>Operating expenses:</t>
  </si>
  <si>
    <t>Total operating income/(loss)</t>
  </si>
  <si>
    <t>Income/(loss) before income tax</t>
  </si>
  <si>
    <t>Non-GAAP Adjustments</t>
  </si>
  <si>
    <t>Segment Data</t>
  </si>
  <si>
    <t>Reconciliation</t>
  </si>
  <si>
    <t>2018</t>
  </si>
  <si>
    <t>4Q18</t>
  </si>
  <si>
    <t>3Q18</t>
  </si>
  <si>
    <t>2Q18</t>
  </si>
  <si>
    <t>1Q18</t>
  </si>
  <si>
    <t>March-17</t>
  </si>
  <si>
    <t>June-18</t>
  </si>
  <si>
    <t>March-18</t>
  </si>
  <si>
    <t>Sept-18</t>
  </si>
  <si>
    <t>Dec-18</t>
  </si>
  <si>
    <t>June-17</t>
  </si>
  <si>
    <t>Sept-17</t>
  </si>
  <si>
    <t>Dec-17</t>
  </si>
  <si>
    <t>1Q17</t>
  </si>
  <si>
    <t>2Q17</t>
  </si>
  <si>
    <t>3Q17</t>
  </si>
  <si>
    <t>4Q17</t>
  </si>
  <si>
    <t>2017</t>
  </si>
  <si>
    <t>March-16</t>
  </si>
  <si>
    <t>June-16</t>
  </si>
  <si>
    <t>Sept-16</t>
  </si>
  <si>
    <t>Dec-16</t>
  </si>
  <si>
    <t>1Q16</t>
  </si>
  <si>
    <t>2Q16</t>
  </si>
  <si>
    <t>3Q16</t>
  </si>
  <si>
    <t>4Q16</t>
  </si>
  <si>
    <t>2016</t>
  </si>
  <si>
    <t>March-19</t>
  </si>
  <si>
    <t>June-19</t>
  </si>
  <si>
    <t>Sept-19</t>
  </si>
  <si>
    <t>Dec-19</t>
  </si>
  <si>
    <t>March-20</t>
  </si>
  <si>
    <t>June-20</t>
  </si>
  <si>
    <t>Sept-20</t>
  </si>
  <si>
    <t>Dec-20</t>
  </si>
  <si>
    <t>March-21</t>
  </si>
  <si>
    <t>June-21</t>
  </si>
  <si>
    <t>Sept-21</t>
  </si>
  <si>
    <t>Dec-21</t>
  </si>
  <si>
    <t xml:space="preserve">   Gross Profit</t>
  </si>
  <si>
    <t>Cost of revenue</t>
  </si>
  <si>
    <t>Research and development</t>
  </si>
  <si>
    <t>Marketing and sales</t>
  </si>
  <si>
    <t>General and administrative</t>
  </si>
  <si>
    <t>Interest and other income (expense)</t>
  </si>
  <si>
    <t xml:space="preserve">Net income available to participating securities </t>
  </si>
  <si>
    <t xml:space="preserve">   Net income attributable to common shareholders</t>
  </si>
  <si>
    <t>Facebook Income Statement</t>
  </si>
  <si>
    <t>U.S. and Canada ($M)</t>
  </si>
  <si>
    <t>Europe  ($M)</t>
  </si>
  <si>
    <t>Asia Pacific  ($M)</t>
  </si>
  <si>
    <t>Rest of World  ($M)</t>
  </si>
  <si>
    <t>MAU - Asia Pacific  (M)</t>
  </si>
  <si>
    <t>MAU - Rest of World  (M)</t>
  </si>
  <si>
    <t xml:space="preserve">Total Monthly Active Users (MAU) </t>
  </si>
  <si>
    <t xml:space="preserve"> YoY Growth in MAU - U.S. and Canada</t>
  </si>
  <si>
    <t>YoY Growth in MAU - Europe</t>
  </si>
  <si>
    <t>YoY Growth in MAU - Asia Pacific</t>
  </si>
  <si>
    <t>YoY Growth in MAU - Rest of World</t>
  </si>
  <si>
    <t>Monthly Active Users (MAUs)</t>
  </si>
  <si>
    <t xml:space="preserve">Average Revenue Per User (ARPU) </t>
  </si>
  <si>
    <t>ARPU - Asia Pacific ($)</t>
  </si>
  <si>
    <t>ARPU - Rest of World ($)</t>
  </si>
  <si>
    <t xml:space="preserve">Total Average Revenue Per User (ARPU) </t>
  </si>
  <si>
    <t>Gross Margin</t>
  </si>
  <si>
    <t>R&amp;D expense (as a % of revenue, GAAP)</t>
  </si>
  <si>
    <t>Marketing  expense (as a % of revenue, GAAP)</t>
  </si>
  <si>
    <t>G&amp;A  expense (as a % of revenue, GAAP)</t>
  </si>
  <si>
    <t>FX effect on revenue (using prior year rates)</t>
  </si>
  <si>
    <t>Share-based compensation included in:</t>
  </si>
  <si>
    <t>General and administrative expense</t>
  </si>
  <si>
    <t>Marketing and sales expense</t>
  </si>
  <si>
    <t>Research and development expense</t>
  </si>
  <si>
    <t>Growth in opex (YoY, inc cost of sales)</t>
  </si>
  <si>
    <t>Revenue growth rate (GAAP, YoY)</t>
  </si>
  <si>
    <t>Revenue growth rate (GAAP, QoQ)</t>
  </si>
  <si>
    <t>Revenue growth YoY (2019 Constant Currency)</t>
  </si>
  <si>
    <t>Revenue growth QoQ (2019 Constant Currency)</t>
  </si>
  <si>
    <t>Revenue Constant Currency (Non-GAAP)</t>
  </si>
  <si>
    <t>2Q20E</t>
  </si>
  <si>
    <t>3Q20E</t>
  </si>
  <si>
    <t>4Q20E</t>
  </si>
  <si>
    <t>2020E</t>
  </si>
  <si>
    <t>1Q21E</t>
  </si>
  <si>
    <t>2Q21E</t>
  </si>
  <si>
    <t>3Q21E</t>
  </si>
  <si>
    <t>4Q21E</t>
  </si>
  <si>
    <t>2021E</t>
  </si>
  <si>
    <t xml:space="preserve">MAU - U.S. and Canada (M, left side of chart) </t>
  </si>
  <si>
    <t>ARPU - U.S. and Canada ($, right side of chart)</t>
  </si>
  <si>
    <t>MAU - Europe  (M, left side of chart)</t>
  </si>
  <si>
    <t>ARPU - Europe ($, right side of chart)</t>
  </si>
  <si>
    <t>Notes &amp; Instructions</t>
  </si>
  <si>
    <r>
      <rPr>
        <b/>
        <sz val="11"/>
        <color theme="1"/>
        <rFont val="Calibri"/>
        <family val="2"/>
        <scheme val="minor"/>
      </rPr>
      <t xml:space="preserve">Color code: </t>
    </r>
    <r>
      <rPr>
        <sz val="11"/>
        <color theme="1"/>
        <rFont val="Calibri"/>
        <family val="2"/>
        <scheme val="minor"/>
      </rPr>
      <t xml:space="preserve">Blue cells represent our primary assumptions which drive the model. Orange cells have been calibrated to meet consensus estimates. Purple cells have been calibrated to meet the guidance from the company's management team. Please be mindful of the dates reflected in the color code legend as data can change every day and our models are only updated periodically, which means the model may not reflect the latest available data. </t>
    </r>
  </si>
  <si>
    <r>
      <rPr>
        <b/>
        <i/>
        <sz val="11"/>
        <color theme="1"/>
        <rFont val="Calibri"/>
        <family val="2"/>
        <scheme val="minor"/>
      </rPr>
      <t>Incorporate Your Own Forecast:</t>
    </r>
    <r>
      <rPr>
        <sz val="11"/>
        <color theme="1"/>
        <rFont val="Calibri"/>
        <family val="2"/>
        <scheme val="minor"/>
      </rPr>
      <t xml:space="preserve"> The model is designed to be "dynamic", meaning if you change the forecast items in the blue cells, the equations will incorporate the new estimates throughout the financial statements to calculate a new earnings forecast. You may change any value, however, changing only the blue cells will help to maintain the integrity of the equations in the model. Keep in mind that there are limits to the concept of a "dynamic" model in a spreadsheet. As a result you will need to carefully exam your estimates to ensure they have resulted in your desired effect. For example, if you believe a company will need to issue new equity and you enter this forecast in the Balance Sheet, you should confirm that the resulting cash shows up in the Cash Flow Statement. If it does not you should adjust the Cash Flow to reflect your assumption.
To enter your own earnings forecast, read the MD&amp;A highlights at the bottom of this worksheet, and consider whether or not you believe the trends which drove each segments revenue and costs will continue. Then adjust the corresponding growth rates in the blue cells accordingly.</t>
    </r>
  </si>
  <si>
    <r>
      <rPr>
        <b/>
        <sz val="11"/>
        <color theme="1"/>
        <rFont val="Calibri"/>
        <family val="2"/>
        <scheme val="minor"/>
      </rPr>
      <t>Interest expense and other income:</t>
    </r>
    <r>
      <rPr>
        <sz val="11"/>
        <color theme="1"/>
        <rFont val="Calibri"/>
        <family val="2"/>
        <scheme val="minor"/>
      </rPr>
      <t xml:space="preserve"> These amounts are forecasted based on effective interest rates, and Balance Sheet projections for cash and debt.  To prevent a circular reference error the prior period debt/cash balances are used in the forecast as an approximation. If necessary the effective interest rate forecasts may be adjusted to compensate for significant future period balance changes. </t>
    </r>
  </si>
  <si>
    <r>
      <rPr>
        <b/>
        <sz val="11"/>
        <color theme="1"/>
        <rFont val="Calibri"/>
        <family val="2"/>
        <scheme val="minor"/>
      </rPr>
      <t>Tax provision:</t>
    </r>
    <r>
      <rPr>
        <sz val="11"/>
        <color theme="1"/>
        <rFont val="Calibri"/>
        <family val="2"/>
        <scheme val="minor"/>
      </rPr>
      <t xml:space="preserve"> based on the historic effective tax rate and management's guidance.</t>
    </r>
  </si>
  <si>
    <r>
      <t>Balance Sheet:</t>
    </r>
    <r>
      <rPr>
        <b/>
        <sz val="11"/>
        <color theme="1"/>
        <rFont val="Calibri"/>
        <family val="2"/>
        <scheme val="minor"/>
      </rPr>
      <t xml:space="preserve"> </t>
    </r>
    <r>
      <rPr>
        <sz val="11"/>
        <color theme="1"/>
        <rFont val="Calibri"/>
        <family val="2"/>
        <scheme val="minor"/>
      </rPr>
      <t xml:space="preserve">Driven by operating ratios combined with the Income Statement forecasts, which produce balance forecasts for receivables, inventory and payables. Note that the turnover ratios include both Income Statement and Balance Sheet metrics, therefore, the Balance Sheet component of the ratios </t>
    </r>
    <r>
      <rPr>
        <b/>
        <u/>
        <sz val="11"/>
        <color theme="1"/>
        <rFont val="Calibri"/>
        <family val="2"/>
        <scheme val="minor"/>
      </rPr>
      <t>should be based on an average of the current and previous quarter's balances; However, this would cause a circular reference error in the forecast period</t>
    </r>
    <r>
      <rPr>
        <sz val="11"/>
        <color theme="1"/>
        <rFont val="Calibri"/>
        <family val="2"/>
        <scheme val="minor"/>
      </rPr>
      <t>. For simplicity, and to prevent a circular reference error, the historic turnover ratios are calculated based on one period (not the average balance of two periods), and these ratios are the basis for the future period forecasts which represent approximations. You may adjust the future period input turnover ratios as you see fit.</t>
    </r>
  </si>
  <si>
    <r>
      <rPr>
        <b/>
        <sz val="11"/>
        <color theme="1"/>
        <rFont val="Calibri"/>
        <family val="2"/>
        <scheme val="minor"/>
      </rPr>
      <t>Other balance sheet accounts:</t>
    </r>
    <r>
      <rPr>
        <sz val="11"/>
        <color theme="1"/>
        <rFont val="Calibri"/>
        <family val="2"/>
        <scheme val="minor"/>
      </rPr>
      <t xml:space="preserve"> Estimated with basic growth rates, or held flat to the last reported value if no reasonable forecast can be determined.</t>
    </r>
  </si>
  <si>
    <r>
      <t xml:space="preserve">Cash Flow Statement: </t>
    </r>
    <r>
      <rPr>
        <sz val="11"/>
        <color theme="1"/>
        <rFont val="Calibri"/>
        <family val="2"/>
        <scheme val="minor"/>
      </rPr>
      <t>Generally driven by the net income from the Income statement, adjusted for non-cash items, and changes in Balance Sheet accounts.</t>
    </r>
  </si>
  <si>
    <r>
      <t xml:space="preserve">Stock-Based Compensation (SBC): </t>
    </r>
    <r>
      <rPr>
        <sz val="11"/>
        <color theme="1"/>
        <rFont val="Calibri"/>
        <family val="2"/>
        <scheme val="minor"/>
      </rPr>
      <t>Projected based on the historic ratio of SBC to revenue.</t>
    </r>
  </si>
  <si>
    <r>
      <t>Changes in operating assets &amp; liabilities:</t>
    </r>
    <r>
      <rPr>
        <sz val="11"/>
        <color theme="1"/>
        <rFont val="Calibri"/>
        <family val="2"/>
        <scheme val="minor"/>
      </rPr>
      <t xml:space="preserve"> Taken directly from the projected changes in the Balance Sheet forecast</t>
    </r>
  </si>
  <si>
    <r>
      <t xml:space="preserve">Valuation Approach: </t>
    </r>
    <r>
      <rPr>
        <sz val="11"/>
        <color theme="1"/>
        <rFont val="Calibri"/>
        <family val="2"/>
        <scheme val="minor"/>
      </rPr>
      <t xml:space="preserve">Similar to our approach for earnings estimates, we attempt to keep our model developers' opinions out of our consensus-based versions of the models in the valuation section as well, and attempt to make it clear where the blue cell valuation input forecasts come from, so that the user of the model can understand the estimates and change them as he/she sees fit. For market multiple-based valuation this is relatively easy to do as the multiple simply represents a short term historic multiple observed at some point in the last few months. You may change the multiple as you see fit.
</t>
    </r>
    <r>
      <rPr>
        <b/>
        <sz val="11"/>
        <color theme="1"/>
        <rFont val="Calibri"/>
        <family val="2"/>
        <scheme val="minor"/>
      </rPr>
      <t>Discounted Cash Flow:</t>
    </r>
    <r>
      <rPr>
        <sz val="11"/>
        <color theme="1"/>
        <rFont val="Calibri"/>
        <family val="2"/>
        <scheme val="minor"/>
      </rPr>
      <t xml:space="preserve"> Given the nature of the discounted cash flow valuation, there are many assumptions and estimates which must be made. We use the Constant Sharpe approach, estimates of volatility, and interest rates to estimate the market Equity Risk Premium (ERP). Refer to our latest ERP model for details on our interest rate and volatility assumptions https://www.gutenbergresearch.com/equity-risk-premium-model.html. We then use estimates of Beta to link the market ERP to an individual stock, and use the cost and weight of debt to calculate a Weighted Average Cost of Capital (WACC) which is used as a discount rate for the cash flows produced by the earnings model. We use two stages in our discount model, with the terminal stage based on longer-term theoretical inputs. 
</t>
    </r>
    <r>
      <rPr>
        <b/>
        <sz val="11"/>
        <color theme="1"/>
        <rFont val="Calibri"/>
        <family val="2"/>
        <scheme val="minor"/>
      </rPr>
      <t>Overall</t>
    </r>
    <r>
      <rPr>
        <sz val="11"/>
        <color theme="1"/>
        <rFont val="Calibri"/>
        <family val="2"/>
        <scheme val="minor"/>
      </rPr>
      <t xml:space="preserve"> </t>
    </r>
    <r>
      <rPr>
        <b/>
        <sz val="11"/>
        <color theme="1"/>
        <rFont val="Calibri"/>
        <family val="2"/>
        <scheme val="minor"/>
      </rPr>
      <t>Valuation in the Consensus/Management Guidance-Based Models:</t>
    </r>
    <r>
      <rPr>
        <sz val="11"/>
        <color theme="1"/>
        <rFont val="Calibri"/>
        <family val="2"/>
        <scheme val="minor"/>
      </rPr>
      <t xml:space="preserve"> In general since we have calibrated our model to meet the consensus estimates, the resulting valuation should theoretically be close to the current share value. As you change your earnings estimates, or the estimates in the valuation section based on your opinions, the theoretical share value should also change. Remember  that this model is for demonstration only, and does not represent investment advice. Refer to our full Terms of Use for details.</t>
    </r>
  </si>
  <si>
    <r>
      <rPr>
        <b/>
        <sz val="11"/>
        <color theme="1"/>
        <rFont val="Calibri"/>
        <family val="2"/>
        <scheme val="minor"/>
      </rPr>
      <t>Want Additional Details on Our Modeling Approach?</t>
    </r>
    <r>
      <rPr>
        <sz val="11"/>
        <color theme="1"/>
        <rFont val="Calibri"/>
        <family val="2"/>
        <scheme val="minor"/>
      </rPr>
      <t xml:space="preserve"> Check out our training course</t>
    </r>
  </si>
  <si>
    <t>https://www.gutenbergresearch.com/certificateprogram.html</t>
  </si>
  <si>
    <r>
      <rPr>
        <b/>
        <sz val="11"/>
        <color theme="1"/>
        <rFont val="Calibri"/>
        <family val="2"/>
        <scheme val="minor"/>
      </rPr>
      <t xml:space="preserve">About our  Consensus/Management Guidance-based Models: </t>
    </r>
    <r>
      <rPr>
        <sz val="11"/>
        <color theme="1"/>
        <rFont val="Calibri"/>
        <family val="2"/>
        <scheme val="minor"/>
      </rPr>
      <t xml:space="preserve">Generally speaking, we attempt to keep the opinions of our model developers' out of our consensus/guidance-based versions of the models, and attempt to make it clear where the blue cell forecasts come from, so that the user of the model can understand the estimate and change it as he/she sees fit. </t>
    </r>
  </si>
  <si>
    <r>
      <rPr>
        <b/>
        <sz val="11"/>
        <color theme="1"/>
        <rFont val="Calibri"/>
        <family val="2"/>
        <scheme val="minor"/>
      </rPr>
      <t>Property &amp; Equipment (P&amp;E):</t>
    </r>
    <r>
      <rPr>
        <sz val="11"/>
        <color theme="1"/>
        <rFont val="Calibri"/>
        <family val="2"/>
        <scheme val="minor"/>
      </rPr>
      <t xml:space="preserve"> Based on a capex to revenue forecast, and estimates for depreciation.</t>
    </r>
  </si>
  <si>
    <r>
      <rPr>
        <b/>
        <sz val="11"/>
        <color theme="1"/>
        <rFont val="Calibri"/>
        <family val="2"/>
        <scheme val="minor"/>
      </rPr>
      <t xml:space="preserve">Equity Section: </t>
    </r>
    <r>
      <rPr>
        <sz val="11"/>
        <color theme="1"/>
        <rFont val="Calibri"/>
        <family val="2"/>
        <scheme val="minor"/>
      </rPr>
      <t>Common stock and APIC are projected using  the last reported balance and additions for any projected stock issuances, including stock issuances related to stock-based compensation, and share repurchases. Future retained earnings is based on the projected net income from the Income Statement, less dividend distributions. Accumulated other comprehensive income will change due primarily to changes in foreign currency, however due to the nature of fx fluctuations the balance is held flat to the last reported value.</t>
    </r>
  </si>
  <si>
    <t xml:space="preserve">Excerpt from MD&amp;A section of SEC filing (source: 10-K filing for January 30, 2019) </t>
  </si>
  <si>
    <r>
      <rPr>
        <b/>
        <sz val="11"/>
        <color theme="1"/>
        <rFont val="Calibri"/>
        <family val="2"/>
        <scheme val="minor"/>
      </rPr>
      <t>Note:</t>
    </r>
    <r>
      <rPr>
        <sz val="11"/>
        <color theme="1"/>
        <rFont val="Calibri"/>
        <family val="2"/>
        <scheme val="minor"/>
      </rPr>
      <t xml:space="preserve"> Please refer to the full 10-K including the Management's Discussion and Analysis (MD&amp;A) section available at www.SEC.gov</t>
    </r>
  </si>
  <si>
    <r>
      <rPr>
        <b/>
        <sz val="11"/>
        <color theme="1"/>
        <rFont val="Calibri"/>
        <family val="2"/>
        <scheme val="minor"/>
      </rPr>
      <t xml:space="preserve">Advertising: </t>
    </r>
    <r>
      <rPr>
        <sz val="11"/>
        <color theme="1"/>
        <rFont val="Calibri"/>
        <family val="2"/>
        <scheme val="minor"/>
      </rPr>
      <t>We generate substantially all of our revenue from advertising. Our advertising revenue is generated by displaying ad products on Facebook, Instagram, Messenger, and third-party affiliated websites or mobile applications. Marketers pay for ad products either directly or through their relationships with advertising agencies or resellers, based on the number of impressions delivered or the number of actions, such as clicks, taken by users.
We recognize revenue from the display of impression-based ads in the contracted period in which the impressions are delivered. Impressions are considered delivered when an ad is displayed to a user. We recognize revenue from the delivery of action-based ads in the period in which a user takes the action the marketer contracted for. The number of ads we show is subject to methodological changes as we continue to evolve our ads business and the structure of our ads products. We calculate price per ad as total ad revenue divided by the number of ads delivered, representing the effective price paid per impression by a marketer regardless of their desired objective such as impression or action. For advertising revenue arrangements where we are not the principal, we recognize revenue on a net basis.</t>
    </r>
  </si>
  <si>
    <r>
      <rPr>
        <b/>
        <sz val="11"/>
        <color theme="1"/>
        <rFont val="Calibri"/>
        <family val="2"/>
        <scheme val="minor"/>
      </rPr>
      <t xml:space="preserve">Cost of revenue: </t>
    </r>
    <r>
      <rPr>
        <sz val="11"/>
        <color theme="1"/>
        <rFont val="Calibri"/>
        <family val="2"/>
        <scheme val="minor"/>
      </rPr>
      <t>Our cost of revenue consists primarily of expenses associated with the delivery and distribution of our products. These include expenses related to the operation of our data centers, such as facility and server equipment depreciation, salaries, benefits, and share-based compensation for employees on our operations teams, and energy and bandwidth costs. Cost of revenue also includes costs associated with partner arrangements, including traffic acquisition and content acquisition costs, credit card and other transaction fees related to processing customer transactions, and cost of consumer hardware device inventory sold.</t>
    </r>
  </si>
  <si>
    <r>
      <rPr>
        <b/>
        <sz val="11"/>
        <color theme="1"/>
        <rFont val="Calibri"/>
        <family val="2"/>
        <scheme val="minor"/>
      </rPr>
      <t>2018 Compared to 2017 . Revenue in 2018 increased $15.19 billion , or 37% , compared to 2017 .</t>
    </r>
    <r>
      <rPr>
        <sz val="11"/>
        <color theme="1"/>
        <rFont val="Calibri"/>
        <family val="2"/>
        <scheme val="minor"/>
      </rPr>
      <t xml:space="preserve"> The increase was mostly due to an increase in advertising revenue. The most important factor driving advertising revenue growth </t>
    </r>
    <r>
      <rPr>
        <b/>
        <u/>
        <sz val="11"/>
        <color theme="1"/>
        <rFont val="Calibri"/>
        <family val="2"/>
        <scheme val="minor"/>
      </rPr>
      <t>was an increase in revenue from ads on mobile devices.</t>
    </r>
    <r>
      <rPr>
        <sz val="11"/>
        <color theme="1"/>
        <rFont val="Calibri"/>
        <family val="2"/>
        <scheme val="minor"/>
      </rPr>
      <t xml:space="preserve"> For 2018 , we estimate that mobile advertising revenue represented approximately 92% of total advertising revenue, as compared with approximately 88% in 2017 . The increase in advertising revenue for 2018 was </t>
    </r>
    <r>
      <rPr>
        <b/>
        <u/>
        <sz val="11"/>
        <color theme="1"/>
        <rFont val="Calibri"/>
        <family val="2"/>
        <scheme val="minor"/>
      </rPr>
      <t>due to increases in the number of ads delivered and the average price per ad.</t>
    </r>
    <r>
      <rPr>
        <sz val="11"/>
        <color theme="1"/>
        <rFont val="Calibri"/>
        <family val="2"/>
        <scheme val="minor"/>
      </rPr>
      <t xml:space="preserve"> In 2018 compared to 2017 , the number of ads delivered increased by 22%, as compared with approximately 15% in 2017 , and the average price per ad increased by 13%, as compared with approximately 29% in 2017 . The increase in the ads delivered was driven by an </t>
    </r>
    <r>
      <rPr>
        <b/>
        <u/>
        <sz val="11"/>
        <color theme="1"/>
        <rFont val="Calibri"/>
        <family val="2"/>
        <scheme val="minor"/>
      </rPr>
      <t xml:space="preserve">increase in users and their engagement, </t>
    </r>
    <r>
      <rPr>
        <sz val="11"/>
        <color theme="1"/>
        <rFont val="Calibri"/>
        <family val="2"/>
        <scheme val="minor"/>
      </rPr>
      <t>and an</t>
    </r>
    <r>
      <rPr>
        <b/>
        <u/>
        <sz val="11"/>
        <color theme="1"/>
        <rFont val="Calibri"/>
        <family val="2"/>
        <scheme val="minor"/>
      </rPr>
      <t xml:space="preserve"> increase in the number and frequency of ads displayed across our products</t>
    </r>
    <r>
      <rPr>
        <sz val="11"/>
        <color theme="1"/>
        <rFont val="Calibri"/>
        <family val="2"/>
        <scheme val="minor"/>
      </rPr>
      <t>. The increase in average price per ad was driven by an increase in demand for our ad inventory. Factors contributing to the increase in demand for our ad inventory include an increase in</t>
    </r>
    <r>
      <rPr>
        <b/>
        <u/>
        <sz val="11"/>
        <color theme="1"/>
        <rFont val="Calibri"/>
        <family val="2"/>
        <scheme val="minor"/>
      </rPr>
      <t xml:space="preserve"> spend from existing marketers and an increase in the number of marketers actively advertising on our platform as well as the quality, relevance, and performance of those ads</t>
    </r>
    <r>
      <rPr>
        <sz val="11"/>
        <color theme="1"/>
        <rFont val="Calibri"/>
        <family val="2"/>
        <scheme val="minor"/>
      </rPr>
      <t xml:space="preserve">. We anticipate that future advertising revenue growth will be driven by a combination of price and the
number of ads displayed.
</t>
    </r>
    <r>
      <rPr>
        <b/>
        <sz val="11"/>
        <color theme="1"/>
        <rFont val="Calibri"/>
        <family val="2"/>
        <scheme val="minor"/>
      </rPr>
      <t xml:space="preserve">Advertising spending is traditionally seasonally strong in the fourth quarter of each year. </t>
    </r>
    <r>
      <rPr>
        <sz val="11"/>
        <color theme="1"/>
        <rFont val="Calibri"/>
        <family val="2"/>
        <scheme val="minor"/>
      </rPr>
      <t>We believe that this seasonality in advertising spending affects our quarterly results, which generally reflect significant growth in advertising revenue between the third and fourth quarters and a decline in advertising spending between the fourth and subsequent first quarters. For instance, our advertising revenue increased 23%, 26%, and 27% between the third and fourth quarters of 2018 , 2017 , and 2016 , respectively, while advertising revenue for both the first quarters of 2018 and 2017 declined 8% and 9% compared to the fourth quarters of 2017 and 2016 , respectively</t>
    </r>
  </si>
  <si>
    <r>
      <rPr>
        <b/>
        <i/>
        <sz val="11"/>
        <color theme="1"/>
        <rFont val="Calibri"/>
        <family val="2"/>
        <scheme val="minor"/>
      </rPr>
      <t>Income Statement:</t>
    </r>
    <r>
      <rPr>
        <b/>
        <sz val="11"/>
        <color theme="1"/>
        <rFont val="Calibri"/>
        <family val="2"/>
        <scheme val="minor"/>
      </rPr>
      <t xml:space="preserve"> </t>
    </r>
    <r>
      <rPr>
        <sz val="11"/>
        <color theme="1"/>
        <rFont val="Calibri"/>
        <family val="2"/>
        <scheme val="minor"/>
      </rPr>
      <t>The primary drivers of this model are the estimates of Monthly Active Users (MAUs) and Average Revenue Per User (ARPU) for each region. Estimates for Gross Margin and Operating Expense Ratios are used to complete the majority of the Income Statement. Management's guidance is used as a reasonableness check against the forecasts entered into this model. Total revenue is calibrated to meet consensus estimates.</t>
    </r>
  </si>
  <si>
    <t>1Q19</t>
  </si>
  <si>
    <t>YoY Growth in ARPU - U.S. and Canada (%)</t>
  </si>
  <si>
    <t>YoY Growth in ARPU - Rest of World (%)</t>
  </si>
  <si>
    <t>YoY Growth in ARPU  - Asia Pacific (%)</t>
  </si>
  <si>
    <t>YoY Growth in ARPU - Europe (%)</t>
  </si>
  <si>
    <t>Revenue by Geography</t>
  </si>
  <si>
    <t>2Q19</t>
  </si>
  <si>
    <t>3Q19</t>
  </si>
  <si>
    <t>4Q19</t>
  </si>
  <si>
    <t>2019</t>
  </si>
  <si>
    <t>1Q20</t>
  </si>
  <si>
    <r>
      <rPr>
        <b/>
        <sz val="11"/>
        <color theme="1"/>
        <rFont val="Calibri"/>
        <family val="2"/>
        <scheme val="minor"/>
      </rPr>
      <t>Note:</t>
    </r>
    <r>
      <rPr>
        <sz val="11"/>
        <color theme="1"/>
        <rFont val="Calibri"/>
        <family val="2"/>
        <scheme val="minor"/>
      </rPr>
      <t xml:space="preserve"> Gutenberg Research is a media and entertainment company. The information presented on our website and within Gutenberg Research models, files, or other content does not represent investment advice. Data and information presented on our website, or on third party websites posted by us, within our models, files, and other content is for demonstration only, and is presented “as is”. Neither Gutenberg Research nor any Gutenberg Research agents or associates are liable for any errors, delays, incompleteness of data presented, or for actions taken based on reliance on any information contained on this website or within Gutenberg Research models or other content.  Investors should consult a professional investment adviser prior to making investment decisions. By accessing GutenbergResearch.com and/or receiving our models or other content you are deemed to have read and agreed to the Terms of Use, which are available at the following website: https://www.gutenbergresearch.com/terms-of-use.html. 
The Gutenberg ResearchTM logo is among the registered and unregistered trademarks of Gutenberg Research LLC. All rights reserved.​ 
Copyright Gutenberg Research LLC 2020. </t>
    </r>
  </si>
  <si>
    <r>
      <t xml:space="preserve">Last updated: </t>
    </r>
    <r>
      <rPr>
        <sz val="11"/>
        <color theme="1"/>
        <rFont val="Calibri"/>
        <family val="2"/>
        <scheme val="minor"/>
      </rPr>
      <t>6/7/2020</t>
    </r>
  </si>
  <si>
    <t xml:space="preserve">Blue cells = Contributor estimates </t>
  </si>
  <si>
    <t>Purple cells = Company guidance</t>
  </si>
  <si>
    <t xml:space="preserve">Orange cells = Consensus estimates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</si>
</sst>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8">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s>
  <fonts count="7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i/>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b/>
      <u/>
      <sz val="12"/>
      <name val="Calibri"/>
      <family val="2"/>
      <scheme val="minor"/>
    </font>
    <font>
      <i/>
      <sz val="8"/>
      <color rgb="FFFF0000"/>
      <name val="Calibri"/>
      <family val="2"/>
      <scheme val="minor"/>
    </font>
    <font>
      <i/>
      <sz val="9"/>
      <color theme="3" tint="0.39997558519241921"/>
      <name val="Calibri"/>
      <family val="2"/>
      <scheme val="minor"/>
    </font>
    <font>
      <sz val="8"/>
      <name val="Calibri"/>
      <family val="2"/>
      <scheme val="minor"/>
    </font>
    <font>
      <i/>
      <sz val="11"/>
      <color theme="4"/>
      <name val="Calibri"/>
      <family val="2"/>
      <scheme val="minor"/>
    </font>
    <font>
      <u/>
      <sz val="12"/>
      <name val="Calibri"/>
      <family val="2"/>
      <scheme val="minor"/>
    </font>
    <font>
      <u val="singleAccounting"/>
      <sz val="11"/>
      <color rgb="FFFF0000"/>
      <name val="Calibri"/>
      <family val="2"/>
      <scheme val="minor"/>
    </font>
    <font>
      <b/>
      <i/>
      <u/>
      <sz val="16"/>
      <color theme="1"/>
      <name val="Calibri"/>
      <family val="2"/>
      <scheme val="minor"/>
    </font>
    <font>
      <b/>
      <i/>
      <sz val="11"/>
      <color theme="1"/>
      <name val="Calibri"/>
      <family val="2"/>
      <scheme val="minor"/>
    </font>
    <font>
      <b/>
      <u/>
      <sz val="11"/>
      <color theme="1"/>
      <name val="Calibri"/>
      <family val="2"/>
      <scheme val="minor"/>
    </font>
    <font>
      <sz val="11"/>
      <color theme="0"/>
      <name val="Calibri"/>
      <family val="2"/>
      <scheme val="minor"/>
    </font>
    <font>
      <sz val="10"/>
      <name val="Arial"/>
      <family val="2"/>
    </font>
  </fonts>
  <fills count="12">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7" tint="0.39997558519241921"/>
        <bgColor indexed="64"/>
      </patternFill>
    </fill>
  </fills>
  <borders count="30">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s>
  <cellStyleXfs count="333">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1" fillId="0" borderId="13" applyNumberFormat="0" applyFill="0" applyAlignment="0" applyProtection="0"/>
    <xf numFmtId="0" fontId="12" fillId="0" borderId="14" applyNumberFormat="0" applyFill="0" applyProtection="0">
      <alignment horizontal="center"/>
    </xf>
    <xf numFmtId="0" fontId="12" fillId="0" borderId="0" applyNumberFormat="0" applyFill="0" applyBorder="0" applyProtection="0">
      <alignment horizontal="left"/>
    </xf>
    <xf numFmtId="0" fontId="13" fillId="0" borderId="0" applyNumberFormat="0" applyFill="0" applyBorder="0" applyProtection="0">
      <alignment horizontal="centerContinuous"/>
    </xf>
    <xf numFmtId="0" fontId="14" fillId="0" borderId="0" applyNumberFormat="0" applyFill="0" applyBorder="0" applyAlignment="0" applyProtection="0"/>
    <xf numFmtId="0" fontId="15" fillId="0" borderId="0"/>
    <xf numFmtId="176" fontId="16" fillId="0" borderId="0">
      <alignment horizontal="center"/>
    </xf>
    <xf numFmtId="37" fontId="17" fillId="0" borderId="0"/>
    <xf numFmtId="37" fontId="18" fillId="0" borderId="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 fillId="0" borderId="0" applyAlignment="0" applyProtection="0"/>
    <xf numFmtId="178" fontId="20"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2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1" fillId="0" borderId="0" applyFill="0" applyBorder="0" applyProtection="0">
      <alignment horizontal="center"/>
      <protection locked="0"/>
    </xf>
    <xf numFmtId="0" fontId="22"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2" fillId="0" borderId="7"/>
    <xf numFmtId="192" fontId="1" fillId="0" borderId="0"/>
    <xf numFmtId="0" fontId="15"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3" fillId="0" borderId="0" applyFont="0" applyFill="0" applyBorder="0" applyAlignment="0" applyProtection="0"/>
    <xf numFmtId="4" fontId="1" fillId="0" borderId="0" applyFont="0" applyFill="0" applyBorder="0" applyAlignment="0" applyProtection="0"/>
    <xf numFmtId="4" fontId="1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0" borderId="0" applyFill="0" applyBorder="0" applyAlignment="0" applyProtection="0">
      <protection locked="0"/>
    </xf>
    <xf numFmtId="193" fontId="3" fillId="0" borderId="0">
      <alignment horizontal="center"/>
    </xf>
    <xf numFmtId="194" fontId="26" fillId="0" borderId="0" applyFill="0" applyBorder="0" applyProtection="0"/>
    <xf numFmtId="195" fontId="27" fillId="0" borderId="0" applyFont="0" applyFill="0" applyBorder="0" applyAlignment="0" applyProtection="0"/>
    <xf numFmtId="196" fontId="28" fillId="0" borderId="15">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4" fillId="0" borderId="0" applyNumberFormat="0" applyFill="0" applyBorder="0" applyAlignment="0" applyProtection="0"/>
    <xf numFmtId="1" fontId="16" fillId="0" borderId="0"/>
    <xf numFmtId="14" fontId="29" fillId="0" borderId="0">
      <alignment horizontal="center"/>
    </xf>
    <xf numFmtId="14" fontId="20" fillId="0" borderId="0" applyFill="0" applyBorder="0" applyAlignment="0"/>
    <xf numFmtId="15" fontId="30" fillId="5" borderId="0" applyNumberFormat="0" applyFont="0" applyFill="0" applyBorder="0" applyAlignment="0">
      <alignment horizontal="center" wrapText="1"/>
    </xf>
    <xf numFmtId="0" fontId="20" fillId="0" borderId="12" applyNumberFormat="0" applyFill="0" applyBorder="0" applyAlignment="0" applyProtection="0"/>
    <xf numFmtId="197" fontId="22" fillId="0" borderId="0" applyFont="0" applyFill="0" applyBorder="0" applyAlignment="0" applyProtection="0"/>
    <xf numFmtId="198" fontId="27" fillId="0" borderId="0" applyFont="0" applyFill="0" applyBorder="0" applyAlignment="0" applyProtection="0"/>
    <xf numFmtId="178" fontId="31"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1"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8" fillId="0" borderId="15">
      <protection hidden="1"/>
    </xf>
    <xf numFmtId="199" fontId="3" fillId="0" borderId="0" applyFont="0" applyFill="0" applyBorder="0" applyAlignment="0" applyProtection="0"/>
    <xf numFmtId="38" fontId="32" fillId="5" borderId="0" applyNumberFormat="0" applyBorder="0" applyAlignment="0" applyProtection="0"/>
    <xf numFmtId="0" fontId="33" fillId="0" borderId="16" applyNumberFormat="0" applyAlignment="0" applyProtection="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1" fillId="0" borderId="0">
      <alignment horizontal="left" vertical="center"/>
    </xf>
    <xf numFmtId="14" fontId="34" fillId="6" borderId="15">
      <alignment horizontal="center" vertical="center"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Fill="0" applyAlignment="0" applyProtection="0">
      <protection locked="0"/>
    </xf>
    <xf numFmtId="0" fontId="21" fillId="0" borderId="7" applyFill="0" applyAlignment="0" applyProtection="0">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0" fontId="32" fillId="7" borderId="12" applyNumberFormat="0" applyBorder="0" applyAlignment="0" applyProtection="0"/>
    <xf numFmtId="178" fontId="38"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204" fontId="16" fillId="0" borderId="7"/>
    <xf numFmtId="37" fontId="40" fillId="0" borderId="0"/>
    <xf numFmtId="205" fontId="22" fillId="0" borderId="0"/>
    <xf numFmtId="205" fontId="1" fillId="0" borderId="0"/>
    <xf numFmtId="206" fontId="3" fillId="0" borderId="0"/>
    <xf numFmtId="207" fontId="3" fillId="0" borderId="0"/>
    <xf numFmtId="0" fontId="41" fillId="0" borderId="0"/>
    <xf numFmtId="0" fontId="41" fillId="0" borderId="0"/>
    <xf numFmtId="0" fontId="41" fillId="0" borderId="0"/>
    <xf numFmtId="0" fontId="41"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2" fillId="0" borderId="0"/>
    <xf numFmtId="0" fontId="3" fillId="0" borderId="0"/>
    <xf numFmtId="0" fontId="3" fillId="0" borderId="0"/>
    <xf numFmtId="37" fontId="43" fillId="0" borderId="0"/>
    <xf numFmtId="0" fontId="1" fillId="0" borderId="0"/>
    <xf numFmtId="0" fontId="1" fillId="0" borderId="0"/>
    <xf numFmtId="0" fontId="3" fillId="0" borderId="0">
      <alignment wrapText="1"/>
    </xf>
    <xf numFmtId="0" fontId="3" fillId="0" borderId="0"/>
    <xf numFmtId="37" fontId="43" fillId="0" borderId="0"/>
    <xf numFmtId="0" fontId="3" fillId="0" borderId="0"/>
    <xf numFmtId="37" fontId="43" fillId="0" borderId="0"/>
    <xf numFmtId="0" fontId="1" fillId="0" borderId="0"/>
    <xf numFmtId="0" fontId="23" fillId="0" borderId="0"/>
    <xf numFmtId="37" fontId="1" fillId="0" borderId="0"/>
    <xf numFmtId="0" fontId="1" fillId="0" borderId="0"/>
    <xf numFmtId="37" fontId="1" fillId="0" borderId="0"/>
    <xf numFmtId="0" fontId="3" fillId="0" borderId="0">
      <alignment wrapText="1"/>
    </xf>
    <xf numFmtId="37" fontId="44"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9" fillId="0" borderId="0"/>
    <xf numFmtId="218" fontId="28"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39" fillId="0" borderId="17" applyNumberFormat="0" applyBorder="0"/>
    <xf numFmtId="204" fontId="16" fillId="0" borderId="0"/>
    <xf numFmtId="0" fontId="46" fillId="8" borderId="18" applyNumberFormat="0" applyFont="0" applyFill="0" applyAlignment="0">
      <alignment horizontal="center" vertical="center"/>
    </xf>
    <xf numFmtId="178" fontId="4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3" fillId="0" borderId="19"/>
    <xf numFmtId="0" fontId="48" fillId="0" borderId="0"/>
    <xf numFmtId="0" fontId="22" fillId="0" borderId="0"/>
    <xf numFmtId="0" fontId="39" fillId="0" borderId="0"/>
    <xf numFmtId="37" fontId="49" fillId="0" borderId="15">
      <alignment horizontal="right"/>
      <protection locked="0"/>
    </xf>
    <xf numFmtId="37" fontId="50" fillId="0" borderId="15">
      <alignment horizontal="right"/>
      <protection locked="0"/>
    </xf>
    <xf numFmtId="49" fontId="20"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1" fillId="0" borderId="0" applyFill="0" applyBorder="0" applyProtection="0">
      <alignment horizontal="left" vertical="top"/>
    </xf>
    <xf numFmtId="40" fontId="5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37" fontId="43" fillId="0" borderId="7"/>
    <xf numFmtId="37" fontId="43" fillId="0" borderId="20"/>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3" fillId="0" borderId="0" applyNumberFormat="0" applyFill="0" applyBorder="0" applyAlignment="0" applyProtection="0"/>
    <xf numFmtId="0" fontId="3" fillId="0" borderId="0"/>
    <xf numFmtId="0" fontId="3" fillId="0" borderId="0"/>
    <xf numFmtId="0" fontId="77" fillId="0" borderId="0"/>
  </cellStyleXfs>
  <cellXfs count="211">
    <xf numFmtId="0" fontId="0" fillId="0" borderId="0" xfId="0"/>
    <xf numFmtId="165" fontId="0" fillId="0" borderId="0" xfId="1" applyNumberFormat="1" applyFont="1"/>
    <xf numFmtId="166" fontId="0" fillId="0" borderId="0" xfId="2" applyNumberFormat="1" applyFont="1"/>
    <xf numFmtId="164" fontId="4" fillId="0" borderId="0" xfId="1" applyNumberFormat="1" applyFont="1" applyAlignment="1">
      <alignment horizontal="right"/>
    </xf>
    <xf numFmtId="0" fontId="4" fillId="0" borderId="0" xfId="0" applyFont="1"/>
    <xf numFmtId="0" fontId="0" fillId="0" borderId="0" xfId="0" applyAlignment="1">
      <alignment wrapText="1"/>
    </xf>
    <xf numFmtId="0" fontId="2" fillId="0" borderId="0" xfId="0" applyFont="1" applyAlignment="1">
      <alignment horizontal="left"/>
    </xf>
    <xf numFmtId="0" fontId="0" fillId="0" borderId="0" xfId="0" applyAlignment="1">
      <alignment horizontal="center" textRotation="90"/>
    </xf>
    <xf numFmtId="164" fontId="6" fillId="0" borderId="0" xfId="1" quotePrefix="1" applyNumberFormat="1" applyFont="1" applyAlignment="1">
      <alignment horizontal="left"/>
    </xf>
    <xf numFmtId="164" fontId="6" fillId="0" borderId="0" xfId="1" quotePrefix="1" applyNumberFormat="1" applyFont="1" applyAlignment="1">
      <alignment horizontal="right"/>
    </xf>
    <xf numFmtId="164" fontId="0" fillId="0" borderId="0" xfId="1" applyNumberFormat="1" applyFont="1"/>
    <xf numFmtId="0" fontId="4" fillId="0" borderId="0" xfId="0" applyFont="1" applyAlignment="1">
      <alignment horizontal="right"/>
    </xf>
    <xf numFmtId="0" fontId="56" fillId="0" borderId="0" xfId="329"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43" fontId="4" fillId="0" borderId="0" xfId="1" applyFont="1" applyAlignment="1">
      <alignment horizontal="left"/>
    </xf>
    <xf numFmtId="9" fontId="4" fillId="0" borderId="0" xfId="2" applyFont="1" applyAlignment="1">
      <alignment horizontal="right"/>
    </xf>
    <xf numFmtId="43" fontId="4" fillId="0" borderId="0" xfId="1" applyFont="1"/>
    <xf numFmtId="165" fontId="4" fillId="0" borderId="0" xfId="0" applyNumberFormat="1" applyFont="1"/>
    <xf numFmtId="165" fontId="4" fillId="0" borderId="5" xfId="1" quotePrefix="1" applyNumberFormat="1" applyFont="1" applyBorder="1" applyAlignment="1">
      <alignment horizontal="right"/>
    </xf>
    <xf numFmtId="0" fontId="4" fillId="0" borderId="0" xfId="0" applyFont="1" applyAlignment="1">
      <alignment horizontal="left"/>
    </xf>
    <xf numFmtId="0" fontId="55" fillId="0" borderId="0" xfId="0" applyFont="1"/>
    <xf numFmtId="9" fontId="4" fillId="0" borderId="5" xfId="2" quotePrefix="1" applyFont="1" applyBorder="1" applyAlignment="1">
      <alignment horizontal="right"/>
    </xf>
    <xf numFmtId="9" fontId="4" fillId="0" borderId="5" xfId="2" applyFont="1" applyBorder="1" applyAlignment="1">
      <alignment horizontal="right"/>
    </xf>
    <xf numFmtId="166" fontId="4" fillId="0" borderId="5" xfId="2" quotePrefix="1" applyNumberFormat="1" applyFont="1" applyBorder="1" applyAlignment="1">
      <alignment horizontal="right"/>
    </xf>
    <xf numFmtId="164" fontId="54" fillId="3" borderId="0" xfId="1" quotePrefix="1" applyNumberFormat="1" applyFont="1" applyFill="1" applyAlignment="1">
      <alignment horizontal="right"/>
    </xf>
    <xf numFmtId="164" fontId="57" fillId="2" borderId="2" xfId="1" quotePrefix="1" applyNumberFormat="1" applyFont="1" applyFill="1" applyBorder="1" applyAlignment="1">
      <alignment horizontal="right"/>
    </xf>
    <xf numFmtId="164" fontId="58" fillId="2" borderId="0" xfId="1" quotePrefix="1" applyNumberFormat="1" applyFont="1" applyFill="1" applyAlignment="1">
      <alignment horizontal="right"/>
    </xf>
    <xf numFmtId="164" fontId="2" fillId="3" borderId="2" xfId="1" quotePrefix="1" applyNumberFormat="1" applyFont="1" applyFill="1" applyBorder="1" applyAlignment="1">
      <alignment horizontal="right"/>
    </xf>
    <xf numFmtId="165" fontId="61" fillId="0" borderId="0" xfId="1" applyNumberFormat="1" applyFont="1" applyAlignment="1">
      <alignment horizontal="right"/>
    </xf>
    <xf numFmtId="165" fontId="61" fillId="0" borderId="5" xfId="1" applyNumberFormat="1" applyFont="1" applyBorder="1" applyAlignment="1">
      <alignment horizontal="right"/>
    </xf>
    <xf numFmtId="0" fontId="62" fillId="0" borderId="3" xfId="0" applyFont="1" applyBorder="1" applyAlignment="1">
      <alignment horizontal="left"/>
    </xf>
    <xf numFmtId="0" fontId="4" fillId="0" borderId="4" xfId="0" applyFont="1" applyBorder="1"/>
    <xf numFmtId="0" fontId="55" fillId="0" borderId="4" xfId="0" applyFont="1" applyBorder="1"/>
    <xf numFmtId="165" fontId="64" fillId="0" borderId="0" xfId="1" applyNumberFormat="1" applyFont="1" applyAlignment="1">
      <alignment horizontal="right"/>
    </xf>
    <xf numFmtId="165" fontId="64" fillId="0" borderId="5" xfId="1" applyNumberFormat="1" applyFont="1" applyBorder="1" applyAlignment="1">
      <alignment horizontal="right"/>
    </xf>
    <xf numFmtId="0" fontId="63" fillId="0" borderId="4" xfId="0" applyFont="1" applyBorder="1"/>
    <xf numFmtId="165" fontId="54" fillId="0" borderId="0" xfId="1" applyNumberFormat="1" applyFont="1" applyAlignment="1">
      <alignment horizontal="right"/>
    </xf>
    <xf numFmtId="165" fontId="54" fillId="0" borderId="5" xfId="1" applyNumberFormat="1" applyFont="1" applyBorder="1" applyAlignment="1">
      <alignment horizontal="right"/>
    </xf>
    <xf numFmtId="0" fontId="63" fillId="0" borderId="0" xfId="0" applyFont="1"/>
    <xf numFmtId="165" fontId="63" fillId="0" borderId="0" xfId="1" applyNumberFormat="1" applyFont="1" applyAlignment="1">
      <alignment horizontal="right"/>
    </xf>
    <xf numFmtId="165" fontId="63" fillId="0" borderId="5" xfId="1" applyNumberFormat="1" applyFont="1" applyBorder="1" applyAlignment="1">
      <alignment horizontal="right"/>
    </xf>
    <xf numFmtId="0" fontId="61" fillId="0" borderId="0" xfId="0" applyFont="1"/>
    <xf numFmtId="43" fontId="63" fillId="0" borderId="0" xfId="1" applyFont="1" applyAlignment="1">
      <alignment horizontal="right"/>
    </xf>
    <xf numFmtId="43" fontId="63" fillId="0" borderId="5" xfId="1" applyFont="1" applyBorder="1" applyAlignment="1">
      <alignment horizontal="right"/>
    </xf>
    <xf numFmtId="43" fontId="61" fillId="0" borderId="0" xfId="1" applyFont="1" applyAlignment="1">
      <alignment horizontal="right"/>
    </xf>
    <xf numFmtId="0" fontId="61" fillId="0" borderId="0" xfId="0" applyFont="1" applyAlignment="1">
      <alignment horizontal="left"/>
    </xf>
    <xf numFmtId="0" fontId="61" fillId="0" borderId="3" xfId="0" applyFont="1" applyBorder="1" applyAlignment="1">
      <alignment horizontal="left" indent="1"/>
    </xf>
    <xf numFmtId="0" fontId="66" fillId="0" borderId="4" xfId="0" applyFont="1" applyBorder="1" applyAlignment="1">
      <alignment horizontal="left"/>
    </xf>
    <xf numFmtId="165" fontId="67" fillId="0" borderId="5" xfId="1" quotePrefix="1" applyNumberFormat="1" applyFont="1" applyBorder="1" applyAlignment="1">
      <alignment horizontal="right"/>
    </xf>
    <xf numFmtId="165" fontId="67" fillId="0" borderId="0" xfId="2" applyNumberFormat="1" applyFont="1" applyAlignment="1">
      <alignment horizontal="right"/>
    </xf>
    <xf numFmtId="166" fontId="61" fillId="0" borderId="0" xfId="2" applyNumberFormat="1" applyFont="1" applyAlignment="1">
      <alignment horizontal="right"/>
    </xf>
    <xf numFmtId="0" fontId="68" fillId="0" borderId="0" xfId="0" applyFont="1"/>
    <xf numFmtId="9" fontId="61" fillId="0" borderId="5" xfId="2" applyFont="1" applyBorder="1" applyAlignment="1">
      <alignment horizontal="right"/>
    </xf>
    <xf numFmtId="166" fontId="61" fillId="0" borderId="5" xfId="2" applyNumberFormat="1" applyFont="1" applyBorder="1" applyAlignment="1">
      <alignment horizontal="right"/>
    </xf>
    <xf numFmtId="9" fontId="61" fillId="0" borderId="0" xfId="2" applyFont="1" applyAlignment="1">
      <alignment horizontal="right"/>
    </xf>
    <xf numFmtId="0" fontId="61" fillId="0" borderId="3" xfId="0" applyFont="1" applyBorder="1"/>
    <xf numFmtId="165" fontId="64" fillId="10" borderId="0" xfId="1" applyNumberFormat="1" applyFont="1" applyFill="1" applyAlignment="1">
      <alignment horizontal="right"/>
    </xf>
    <xf numFmtId="165" fontId="61" fillId="10" borderId="0" xfId="1" applyNumberFormat="1" applyFont="1" applyFill="1" applyAlignment="1">
      <alignment horizontal="right"/>
    </xf>
    <xf numFmtId="9" fontId="61" fillId="10" borderId="0" xfId="2" applyFont="1" applyFill="1" applyAlignment="1">
      <alignment horizontal="right"/>
    </xf>
    <xf numFmtId="166" fontId="61" fillId="10" borderId="0" xfId="2" applyNumberFormat="1" applyFont="1" applyFill="1" applyAlignment="1">
      <alignment horizontal="right"/>
    </xf>
    <xf numFmtId="7" fontId="61" fillId="0" borderId="0" xfId="1" applyNumberFormat="1" applyFont="1" applyAlignment="1">
      <alignment horizontal="right"/>
    </xf>
    <xf numFmtId="7" fontId="4" fillId="0" borderId="5" xfId="1" applyNumberFormat="1" applyFont="1" applyBorder="1" applyAlignment="1">
      <alignment horizontal="right"/>
    </xf>
    <xf numFmtId="7" fontId="61" fillId="10" borderId="0" xfId="1" applyNumberFormat="1" applyFont="1" applyFill="1" applyAlignment="1">
      <alignment horizontal="right"/>
    </xf>
    <xf numFmtId="41" fontId="61" fillId="0" borderId="0" xfId="1" quotePrefix="1" applyNumberFormat="1" applyFont="1" applyAlignment="1">
      <alignment horizontal="right"/>
    </xf>
    <xf numFmtId="7" fontId="61" fillId="0" borderId="5" xfId="1" applyNumberFormat="1" applyFont="1" applyBorder="1" applyAlignment="1">
      <alignment horizontal="right"/>
    </xf>
    <xf numFmtId="164" fontId="61" fillId="0" borderId="7" xfId="1" applyNumberFormat="1" applyFont="1" applyBorder="1" applyAlignment="1">
      <alignment horizontal="right"/>
    </xf>
    <xf numFmtId="165" fontId="61" fillId="0" borderId="7" xfId="1" applyNumberFormat="1" applyFont="1" applyBorder="1" applyAlignment="1">
      <alignment horizontal="right"/>
    </xf>
    <xf numFmtId="165" fontId="61" fillId="0" borderId="8" xfId="1" applyNumberFormat="1" applyFont="1" applyBorder="1" applyAlignment="1">
      <alignment horizontal="right"/>
    </xf>
    <xf numFmtId="0" fontId="4" fillId="0" borderId="4" xfId="0" applyFont="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63" fillId="0" borderId="4" xfId="0" applyFont="1" applyBorder="1" applyAlignment="1">
      <alignment horizontal="left" indent="1"/>
    </xf>
    <xf numFmtId="0" fontId="63" fillId="0" borderId="3" xfId="0" applyFont="1" applyBorder="1" applyAlignment="1">
      <alignment horizontal="left"/>
    </xf>
    <xf numFmtId="0" fontId="63" fillId="0" borderId="4" xfId="0" applyFont="1" applyBorder="1" applyAlignment="1">
      <alignment horizontal="left"/>
    </xf>
    <xf numFmtId="0" fontId="61" fillId="0" borderId="3" xfId="0" applyFont="1" applyBorder="1" applyAlignment="1">
      <alignment horizontal="left" indent="2"/>
    </xf>
    <xf numFmtId="0" fontId="61" fillId="0" borderId="6" xfId="0" applyFont="1" applyBorder="1" applyAlignment="1">
      <alignment horizontal="left"/>
    </xf>
    <xf numFmtId="165" fontId="61" fillId="10" borderId="7" xfId="1" applyNumberFormat="1" applyFont="1" applyFill="1" applyBorder="1" applyAlignment="1">
      <alignment horizontal="right"/>
    </xf>
    <xf numFmtId="0" fontId="63" fillId="0" borderId="3" xfId="0" applyFont="1" applyBorder="1" applyAlignment="1">
      <alignment horizontal="left" indent="2"/>
    </xf>
    <xf numFmtId="164" fontId="57" fillId="2" borderId="27" xfId="1" quotePrefix="1" applyNumberFormat="1" applyFont="1" applyFill="1" applyBorder="1" applyAlignment="1">
      <alignment horizontal="right"/>
    </xf>
    <xf numFmtId="164" fontId="58" fillId="2" borderId="5" xfId="1" quotePrefix="1" applyNumberFormat="1" applyFont="1" applyFill="1" applyBorder="1" applyAlignment="1">
      <alignment horizontal="right"/>
    </xf>
    <xf numFmtId="164" fontId="2" fillId="3" borderId="27" xfId="1" quotePrefix="1" applyNumberFormat="1" applyFont="1" applyFill="1" applyBorder="1" applyAlignment="1">
      <alignment horizontal="right"/>
    </xf>
    <xf numFmtId="164" fontId="54" fillId="3" borderId="5" xfId="1" quotePrefix="1" applyNumberFormat="1" applyFont="1" applyFill="1" applyBorder="1" applyAlignment="1">
      <alignment horizontal="right"/>
    </xf>
    <xf numFmtId="166" fontId="67" fillId="0" borderId="0" xfId="2" applyNumberFormat="1" applyFont="1" applyAlignment="1">
      <alignment horizontal="right"/>
    </xf>
    <xf numFmtId="166" fontId="4" fillId="0" borderId="0" xfId="2" applyNumberFormat="1" applyFont="1" applyAlignment="1">
      <alignment horizontal="right"/>
    </xf>
    <xf numFmtId="165" fontId="61" fillId="0" borderId="4" xfId="1" applyNumberFormat="1" applyFont="1" applyBorder="1" applyAlignment="1">
      <alignment horizontal="right"/>
    </xf>
    <xf numFmtId="0" fontId="2" fillId="0" borderId="0" xfId="0" applyFont="1"/>
    <xf numFmtId="0" fontId="70" fillId="0" borderId="0" xfId="0" applyFont="1"/>
    <xf numFmtId="165" fontId="70" fillId="0" borderId="0" xfId="1" applyNumberFormat="1" applyFont="1" applyAlignment="1">
      <alignment horizontal="right"/>
    </xf>
    <xf numFmtId="0" fontId="61" fillId="0" borderId="10" xfId="0" applyFont="1" applyBorder="1" applyAlignment="1">
      <alignment horizontal="left"/>
    </xf>
    <xf numFmtId="0" fontId="63" fillId="0" borderId="3" xfId="0" applyFont="1" applyBorder="1" applyAlignment="1">
      <alignment horizontal="left" indent="3"/>
    </xf>
    <xf numFmtId="165" fontId="55" fillId="0" borderId="5" xfId="1" quotePrefix="1" applyNumberFormat="1" applyFont="1" applyBorder="1" applyAlignment="1">
      <alignment horizontal="left" indent="1"/>
    </xf>
    <xf numFmtId="0" fontId="55" fillId="0" borderId="0" xfId="0" applyFont="1" applyAlignment="1">
      <alignment horizontal="left" indent="1"/>
    </xf>
    <xf numFmtId="0" fontId="71" fillId="0" borderId="4" xfId="0" applyFont="1" applyBorder="1" applyAlignment="1">
      <alignment horizontal="left"/>
    </xf>
    <xf numFmtId="0" fontId="61" fillId="0" borderId="4" xfId="0" applyFont="1" applyBorder="1"/>
    <xf numFmtId="9" fontId="55" fillId="0" borderId="5" xfId="2" quotePrefix="1" applyFont="1" applyBorder="1" applyAlignment="1">
      <alignment horizontal="right"/>
    </xf>
    <xf numFmtId="166" fontId="55" fillId="0" borderId="5" xfId="2" quotePrefix="1" applyNumberFormat="1" applyFont="1" applyBorder="1" applyAlignment="1">
      <alignment horizontal="right"/>
    </xf>
    <xf numFmtId="43" fontId="64" fillId="0" borderId="0" xfId="1" applyFont="1" applyAlignment="1">
      <alignment horizontal="right"/>
    </xf>
    <xf numFmtId="165" fontId="72" fillId="0" borderId="5" xfId="1" quotePrefix="1" applyNumberFormat="1" applyFont="1" applyBorder="1" applyAlignment="1">
      <alignment horizontal="right"/>
    </xf>
    <xf numFmtId="41" fontId="64" fillId="0" borderId="0" xfId="1" quotePrefix="1" applyNumberFormat="1" applyFont="1" applyAlignment="1">
      <alignment horizontal="right"/>
    </xf>
    <xf numFmtId="41" fontId="63" fillId="0" borderId="0" xfId="1" quotePrefix="1" applyNumberFormat="1" applyFont="1" applyAlignment="1">
      <alignment horizontal="left" indent="1"/>
    </xf>
    <xf numFmtId="164" fontId="61" fillId="0" borderId="8" xfId="1" applyNumberFormat="1" applyFont="1" applyBorder="1" applyAlignment="1">
      <alignment horizontal="right"/>
    </xf>
    <xf numFmtId="0" fontId="70" fillId="0" borderId="4" xfId="0" applyFont="1" applyBorder="1" applyAlignment="1">
      <alignment horizontal="left"/>
    </xf>
    <xf numFmtId="165" fontId="62" fillId="0" borderId="5" xfId="1" applyNumberFormat="1" applyFont="1" applyBorder="1" applyAlignment="1">
      <alignment horizontal="right"/>
    </xf>
    <xf numFmtId="165" fontId="61" fillId="0" borderId="10" xfId="1" applyNumberFormat="1" applyFont="1" applyBorder="1" applyAlignment="1">
      <alignment horizontal="right"/>
    </xf>
    <xf numFmtId="165" fontId="61" fillId="10" borderId="6" xfId="1" applyNumberFormat="1" applyFont="1" applyFill="1" applyBorder="1" applyAlignment="1">
      <alignment horizontal="right"/>
    </xf>
    <xf numFmtId="165" fontId="61" fillId="10" borderId="10" xfId="1" applyNumberFormat="1" applyFont="1" applyFill="1" applyBorder="1" applyAlignment="1">
      <alignment horizontal="right"/>
    </xf>
    <xf numFmtId="43" fontId="63" fillId="0" borderId="7" xfId="1" applyFont="1" applyBorder="1" applyAlignment="1">
      <alignment horizontal="right"/>
    </xf>
    <xf numFmtId="43" fontId="63" fillId="0" borderId="8" xfId="1" applyFont="1" applyBorder="1" applyAlignment="1">
      <alignment horizontal="right"/>
    </xf>
    <xf numFmtId="165" fontId="61" fillId="11" borderId="5" xfId="1" applyNumberFormat="1" applyFont="1" applyFill="1" applyBorder="1" applyAlignment="1">
      <alignment horizontal="right"/>
    </xf>
    <xf numFmtId="9" fontId="4" fillId="0" borderId="0" xfId="1" applyNumberFormat="1" applyFont="1"/>
    <xf numFmtId="9" fontId="4" fillId="0" borderId="0" xfId="1" applyNumberFormat="1" applyFont="1" applyAlignment="1">
      <alignment horizontal="right"/>
    </xf>
    <xf numFmtId="165" fontId="61" fillId="0" borderId="0" xfId="2" applyNumberFormat="1" applyFont="1" applyAlignment="1">
      <alignment horizontal="right"/>
    </xf>
    <xf numFmtId="0" fontId="0" fillId="0" borderId="5" xfId="0" applyBorder="1" applyAlignment="1">
      <alignment horizontal="left" vertical="top" wrapText="1"/>
    </xf>
    <xf numFmtId="0" fontId="0" fillId="0" borderId="28" xfId="0" applyBorder="1" applyAlignment="1">
      <alignment horizontal="left" vertical="top" wrapText="1"/>
    </xf>
    <xf numFmtId="0" fontId="2" fillId="0" borderId="5" xfId="0" applyFont="1" applyBorder="1" applyAlignment="1">
      <alignment horizontal="left" vertical="top" wrapText="1"/>
    </xf>
    <xf numFmtId="0" fontId="0" fillId="0" borderId="26" xfId="0" applyBorder="1" applyAlignment="1">
      <alignment horizontal="left" vertical="top" wrapText="1"/>
    </xf>
    <xf numFmtId="0" fontId="53" fillId="0" borderId="8" xfId="329" applyBorder="1" applyAlignment="1">
      <alignment horizontal="left" vertical="top" wrapText="1"/>
    </xf>
    <xf numFmtId="0" fontId="0" fillId="0" borderId="0" xfId="0" applyAlignment="1">
      <alignment vertical="top" wrapText="1"/>
    </xf>
    <xf numFmtId="0" fontId="0" fillId="0" borderId="25" xfId="0" applyBorder="1" applyAlignment="1">
      <alignment vertical="top" wrapText="1"/>
    </xf>
    <xf numFmtId="0" fontId="0" fillId="0" borderId="28" xfId="0" applyBorder="1" applyAlignment="1">
      <alignment vertical="top" wrapText="1"/>
    </xf>
    <xf numFmtId="0" fontId="0" fillId="0" borderId="26" xfId="0" applyBorder="1" applyAlignment="1">
      <alignment vertical="top" wrapText="1"/>
    </xf>
    <xf numFmtId="0" fontId="0" fillId="0" borderId="29" xfId="0" applyBorder="1" applyAlignment="1">
      <alignment vertical="top" wrapText="1"/>
    </xf>
    <xf numFmtId="0" fontId="73" fillId="0" borderId="27" xfId="0" applyFont="1" applyBorder="1" applyAlignment="1">
      <alignment vertical="top" wrapText="1"/>
    </xf>
    <xf numFmtId="0" fontId="74" fillId="0" borderId="28" xfId="0" applyFont="1" applyBorder="1" applyAlignment="1">
      <alignment horizontal="left" vertical="top" wrapText="1"/>
    </xf>
    <xf numFmtId="0" fontId="74" fillId="0" borderId="26" xfId="0" applyFont="1" applyBorder="1" applyAlignment="1">
      <alignment horizontal="left" vertical="top" wrapText="1"/>
    </xf>
    <xf numFmtId="0" fontId="2" fillId="0" borderId="28" xfId="0" applyFont="1" applyBorder="1" applyAlignment="1">
      <alignment horizontal="left" vertical="top" wrapText="1"/>
    </xf>
    <xf numFmtId="0" fontId="76" fillId="0" borderId="0" xfId="0" applyFont="1"/>
    <xf numFmtId="165" fontId="61" fillId="0" borderId="5" xfId="1" applyNumberFormat="1" applyFont="1" applyFill="1" applyBorder="1" applyAlignment="1">
      <alignment horizontal="right"/>
    </xf>
    <xf numFmtId="165" fontId="64" fillId="0" borderId="5" xfId="1" applyNumberFormat="1" applyFont="1" applyFill="1" applyBorder="1" applyAlignment="1">
      <alignment horizontal="right"/>
    </xf>
    <xf numFmtId="165" fontId="63" fillId="0" borderId="5" xfId="1" applyNumberFormat="1" applyFont="1" applyFill="1" applyBorder="1" applyAlignment="1">
      <alignment horizontal="right"/>
    </xf>
    <xf numFmtId="165" fontId="54" fillId="0" borderId="5" xfId="1" applyNumberFormat="1" applyFont="1" applyFill="1" applyBorder="1" applyAlignment="1">
      <alignment horizontal="right"/>
    </xf>
    <xf numFmtId="43" fontId="63" fillId="0" borderId="5" xfId="1" applyFont="1" applyFill="1" applyBorder="1" applyAlignment="1">
      <alignment horizontal="right"/>
    </xf>
    <xf numFmtId="165" fontId="61" fillId="0" borderId="0" xfId="1" applyNumberFormat="1" applyFont="1" applyFill="1" applyAlignment="1">
      <alignment horizontal="right"/>
    </xf>
    <xf numFmtId="165" fontId="63" fillId="0" borderId="0" xfId="1" applyNumberFormat="1" applyFont="1" applyFill="1" applyAlignment="1">
      <alignment horizontal="right"/>
    </xf>
    <xf numFmtId="165" fontId="64" fillId="0" borderId="0" xfId="1" applyNumberFormat="1" applyFont="1" applyFill="1" applyAlignment="1">
      <alignment horizontal="right"/>
    </xf>
    <xf numFmtId="43" fontId="63" fillId="0" borderId="0" xfId="1" applyFont="1" applyFill="1" applyAlignment="1">
      <alignment horizontal="right"/>
    </xf>
    <xf numFmtId="43" fontId="63" fillId="0" borderId="7" xfId="1" applyFont="1" applyFill="1" applyBorder="1" applyAlignment="1">
      <alignment horizontal="right"/>
    </xf>
    <xf numFmtId="0" fontId="4" fillId="0" borderId="0" xfId="0" applyFont="1" applyFill="1"/>
    <xf numFmtId="0" fontId="55" fillId="0" borderId="0" xfId="0" applyFont="1" applyFill="1" applyAlignment="1">
      <alignment horizontal="left" indent="1"/>
    </xf>
    <xf numFmtId="9" fontId="61" fillId="0" borderId="0" xfId="2" applyFont="1" applyFill="1" applyAlignment="1">
      <alignment horizontal="right"/>
    </xf>
    <xf numFmtId="0" fontId="55" fillId="0" borderId="0" xfId="0" applyFont="1" applyFill="1"/>
    <xf numFmtId="43" fontId="61" fillId="0" borderId="0" xfId="1" applyFont="1" applyFill="1" applyAlignment="1">
      <alignment horizontal="right"/>
    </xf>
    <xf numFmtId="0" fontId="68" fillId="0" borderId="0" xfId="0" applyFont="1" applyFill="1"/>
    <xf numFmtId="166" fontId="61" fillId="0" borderId="0" xfId="2" applyNumberFormat="1" applyFont="1" applyFill="1" applyAlignment="1">
      <alignment horizontal="right"/>
    </xf>
    <xf numFmtId="0" fontId="61" fillId="0" borderId="0" xfId="0" applyFont="1" applyFill="1"/>
    <xf numFmtId="7" fontId="61" fillId="0" borderId="0" xfId="1" applyNumberFormat="1" applyFont="1" applyFill="1" applyAlignment="1">
      <alignment horizontal="right"/>
    </xf>
    <xf numFmtId="166" fontId="61" fillId="0" borderId="5" xfId="2" applyNumberFormat="1" applyFont="1" applyFill="1" applyBorder="1" applyAlignment="1">
      <alignment horizontal="right"/>
    </xf>
    <xf numFmtId="0" fontId="70" fillId="0" borderId="0" xfId="0" applyFont="1" applyFill="1"/>
    <xf numFmtId="165" fontId="61" fillId="0" borderId="6" xfId="1" applyNumberFormat="1" applyFont="1" applyFill="1" applyBorder="1" applyAlignment="1">
      <alignment horizontal="right"/>
    </xf>
    <xf numFmtId="9" fontId="67" fillId="0" borderId="0" xfId="2" applyFont="1" applyAlignment="1">
      <alignment horizontal="right"/>
    </xf>
    <xf numFmtId="43" fontId="61" fillId="0" borderId="0" xfId="1" quotePrefix="1" applyFont="1" applyFill="1" applyAlignment="1">
      <alignment horizontal="right" wrapText="1"/>
    </xf>
    <xf numFmtId="43" fontId="4" fillId="0" borderId="0" xfId="1" applyNumberFormat="1" applyFont="1" applyAlignment="1">
      <alignment horizontal="right"/>
    </xf>
    <xf numFmtId="9" fontId="4" fillId="0" borderId="0" xfId="2" applyFont="1" applyFill="1" applyAlignment="1">
      <alignment horizontal="right"/>
    </xf>
    <xf numFmtId="165" fontId="4" fillId="0" borderId="0" xfId="1" applyNumberFormat="1" applyFont="1" applyFill="1" applyAlignment="1">
      <alignment horizontal="right"/>
    </xf>
    <xf numFmtId="165" fontId="54" fillId="0" borderId="0" xfId="1" applyNumberFormat="1" applyFont="1" applyFill="1" applyAlignment="1">
      <alignment horizontal="right"/>
    </xf>
    <xf numFmtId="9" fontId="67" fillId="0" borderId="0" xfId="2" applyFont="1" applyFill="1" applyAlignment="1">
      <alignment horizontal="right"/>
    </xf>
    <xf numFmtId="165" fontId="61" fillId="0" borderId="7" xfId="1" applyNumberFormat="1" applyFont="1" applyFill="1" applyBorder="1" applyAlignment="1">
      <alignment horizontal="right"/>
    </xf>
    <xf numFmtId="43" fontId="63" fillId="0" borderId="8" xfId="1" applyFont="1" applyFill="1" applyBorder="1" applyAlignment="1">
      <alignment horizontal="right"/>
    </xf>
    <xf numFmtId="0" fontId="61" fillId="0" borderId="3" xfId="0" applyFont="1" applyBorder="1" applyAlignment="1">
      <alignment horizontal="left"/>
    </xf>
    <xf numFmtId="0" fontId="61" fillId="0" borderId="4" xfId="0" applyFont="1" applyBorder="1" applyAlignment="1">
      <alignment horizontal="left"/>
    </xf>
    <xf numFmtId="9" fontId="4" fillId="0" borderId="0" xfId="1" applyNumberFormat="1" applyFont="1" applyFill="1"/>
    <xf numFmtId="165" fontId="61" fillId="0" borderId="10" xfId="1" applyNumberFormat="1" applyFont="1" applyFill="1" applyBorder="1" applyAlignment="1">
      <alignment horizontal="right"/>
    </xf>
    <xf numFmtId="0" fontId="63" fillId="0" borderId="0" xfId="0" applyFont="1" applyFill="1"/>
    <xf numFmtId="9" fontId="61" fillId="0" borderId="5" xfId="2" applyFont="1" applyFill="1" applyBorder="1" applyAlignment="1">
      <alignment horizontal="right"/>
    </xf>
    <xf numFmtId="43" fontId="61" fillId="0" borderId="5" xfId="1" applyNumberFormat="1" applyFont="1" applyBorder="1" applyAlignment="1">
      <alignment horizontal="right"/>
    </xf>
    <xf numFmtId="166" fontId="61" fillId="11" borderId="5" xfId="2" applyNumberFormat="1" applyFont="1" applyFill="1" applyBorder="1" applyAlignment="1">
      <alignment horizontal="right"/>
    </xf>
    <xf numFmtId="9" fontId="61" fillId="0" borderId="0" xfId="1" applyNumberFormat="1" applyFont="1" applyFill="1"/>
    <xf numFmtId="166" fontId="4" fillId="0" borderId="0" xfId="2" applyNumberFormat="1" applyFont="1" applyFill="1" applyAlignment="1">
      <alignment horizontal="right"/>
    </xf>
    <xf numFmtId="0" fontId="63" fillId="0" borderId="1" xfId="0" applyFont="1" applyFill="1" applyBorder="1" applyAlignment="1">
      <alignment horizontal="left"/>
    </xf>
    <xf numFmtId="5" fontId="63" fillId="0" borderId="11" xfId="1" applyNumberFormat="1" applyFont="1" applyFill="1" applyBorder="1" applyAlignment="1">
      <alignment horizontal="right"/>
    </xf>
    <xf numFmtId="43" fontId="4" fillId="0" borderId="0" xfId="1" applyFont="1" applyFill="1" applyAlignment="1">
      <alignment horizontal="right"/>
    </xf>
    <xf numFmtId="20" fontId="4" fillId="0" borderId="0" xfId="1" applyNumberFormat="1" applyFont="1" applyFill="1" applyAlignment="1">
      <alignment horizontal="right"/>
    </xf>
    <xf numFmtId="43" fontId="61" fillId="0" borderId="0" xfId="1" applyFont="1" applyFill="1" applyAlignment="1">
      <alignment horizontal="left"/>
    </xf>
    <xf numFmtId="165" fontId="61" fillId="0" borderId="0" xfId="1" applyNumberFormat="1" applyFont="1" applyFill="1" applyAlignment="1">
      <alignment horizontal="left"/>
    </xf>
    <xf numFmtId="0" fontId="63" fillId="0" borderId="3" xfId="0" applyFont="1" applyFill="1" applyBorder="1" applyAlignment="1">
      <alignment horizontal="left"/>
    </xf>
    <xf numFmtId="5" fontId="65" fillId="0" borderId="4" xfId="1" applyNumberFormat="1" applyFont="1" applyFill="1" applyBorder="1" applyAlignment="1">
      <alignment horizontal="right"/>
    </xf>
    <xf numFmtId="5" fontId="63" fillId="0" borderId="4" xfId="1" applyNumberFormat="1" applyFont="1" applyFill="1" applyBorder="1" applyAlignment="1">
      <alignment horizontal="right"/>
    </xf>
    <xf numFmtId="167" fontId="61" fillId="0" borderId="0" xfId="1" applyNumberFormat="1" applyFont="1" applyFill="1" applyAlignment="1">
      <alignment horizontal="right"/>
    </xf>
    <xf numFmtId="166" fontId="61" fillId="0" borderId="0" xfId="2" applyNumberFormat="1" applyFont="1" applyFill="1" applyAlignment="1">
      <alignment horizontal="left"/>
    </xf>
    <xf numFmtId="0" fontId="63" fillId="0" borderId="21" xfId="0" applyFont="1" applyFill="1" applyBorder="1" applyAlignment="1">
      <alignment horizontal="left"/>
    </xf>
    <xf numFmtId="5" fontId="63" fillId="0" borderId="22" xfId="1" applyNumberFormat="1" applyFont="1" applyFill="1" applyBorder="1" applyAlignment="1">
      <alignment horizontal="right"/>
    </xf>
    <xf numFmtId="9" fontId="61" fillId="0" borderId="0" xfId="1" applyNumberFormat="1" applyFont="1" applyFill="1" applyAlignment="1">
      <alignment horizontal="left"/>
    </xf>
    <xf numFmtId="10" fontId="61" fillId="0" borderId="0" xfId="1" applyNumberFormat="1" applyFont="1" applyFill="1" applyAlignment="1">
      <alignment horizontal="right"/>
    </xf>
    <xf numFmtId="9" fontId="61" fillId="0" borderId="0" xfId="1" applyNumberFormat="1" applyFont="1" applyFill="1" applyAlignment="1">
      <alignment horizontal="right"/>
    </xf>
    <xf numFmtId="0" fontId="61" fillId="10" borderId="1" xfId="0" applyFont="1" applyFill="1" applyBorder="1" applyAlignment="1">
      <alignment horizontal="left"/>
    </xf>
    <xf numFmtId="0" fontId="61" fillId="10" borderId="11" xfId="0" applyFont="1" applyFill="1" applyBorder="1" applyAlignment="1">
      <alignment horizontal="left"/>
    </xf>
    <xf numFmtId="0" fontId="61" fillId="11" borderId="3" xfId="0" applyFont="1" applyFill="1" applyBorder="1" applyAlignment="1">
      <alignment horizontal="left"/>
    </xf>
    <xf numFmtId="0" fontId="61" fillId="11" borderId="4" xfId="0" applyFont="1" applyFill="1" applyBorder="1" applyAlignment="1">
      <alignment horizontal="left"/>
    </xf>
    <xf numFmtId="0" fontId="61" fillId="9" borderId="6" xfId="0" applyFont="1" applyFill="1" applyBorder="1" applyAlignment="1">
      <alignment horizontal="left"/>
    </xf>
    <xf numFmtId="0" fontId="61" fillId="9" borderId="10" xfId="0" applyFont="1" applyFill="1" applyBorder="1" applyAlignment="1">
      <alignment horizontal="left"/>
    </xf>
    <xf numFmtId="0" fontId="59" fillId="2" borderId="1" xfId="0" applyFont="1" applyFill="1" applyBorder="1" applyAlignment="1">
      <alignment horizontal="left"/>
    </xf>
    <xf numFmtId="0" fontId="59" fillId="2" borderId="11" xfId="0" applyFont="1" applyFill="1" applyBorder="1" applyAlignment="1">
      <alignment horizontal="left"/>
    </xf>
    <xf numFmtId="0" fontId="60" fillId="2" borderId="3" xfId="0" applyFont="1" applyFill="1" applyBorder="1" applyAlignment="1">
      <alignment horizontal="left"/>
    </xf>
    <xf numFmtId="0" fontId="60" fillId="2" borderId="4" xfId="0" applyFont="1" applyFill="1" applyBorder="1" applyAlignment="1">
      <alignment horizontal="left"/>
    </xf>
    <xf numFmtId="0" fontId="61" fillId="0" borderId="23" xfId="0" applyFont="1" applyBorder="1" applyAlignment="1">
      <alignment horizontal="left" vertical="top" wrapText="1"/>
    </xf>
    <xf numFmtId="0" fontId="61" fillId="0" borderId="24" xfId="0" applyFont="1" applyBorder="1" applyAlignment="1">
      <alignment horizontal="left" vertical="top" wrapText="1"/>
    </xf>
    <xf numFmtId="0" fontId="61" fillId="0" borderId="6" xfId="0" applyFont="1" applyBorder="1" applyAlignment="1">
      <alignment horizontal="left"/>
    </xf>
    <xf numFmtId="0" fontId="61" fillId="0" borderId="10" xfId="0" applyFont="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63" fillId="0" borderId="3" xfId="0" applyFont="1" applyBorder="1" applyAlignment="1">
      <alignment horizontal="left" indent="3"/>
    </xf>
    <xf numFmtId="0" fontId="63" fillId="0" borderId="4" xfId="0" applyFont="1" applyBorder="1" applyAlignment="1">
      <alignment horizontal="left" indent="3"/>
    </xf>
    <xf numFmtId="0" fontId="63" fillId="0" borderId="6" xfId="0" applyFont="1" applyBorder="1" applyAlignment="1">
      <alignment horizontal="left" indent="1"/>
    </xf>
    <xf numFmtId="0" fontId="63" fillId="0" borderId="10" xfId="0" applyFont="1" applyBorder="1" applyAlignment="1">
      <alignment horizontal="left" indent="1"/>
    </xf>
    <xf numFmtId="0" fontId="63" fillId="0" borderId="3" xfId="0" applyFont="1" applyBorder="1" applyAlignment="1">
      <alignment horizontal="left" indent="1"/>
    </xf>
    <xf numFmtId="0" fontId="63" fillId="0" borderId="4" xfId="0" applyFont="1" applyBorder="1" applyAlignment="1">
      <alignment horizontal="left" indent="1"/>
    </xf>
    <xf numFmtId="0" fontId="60" fillId="0" borderId="4" xfId="0" applyFont="1" applyBorder="1" applyAlignment="1">
      <alignment horizontal="center" wrapText="1"/>
    </xf>
    <xf numFmtId="0" fontId="59" fillId="2" borderId="3" xfId="0" applyFont="1" applyFill="1" applyBorder="1" applyAlignment="1">
      <alignment horizontal="left"/>
    </xf>
    <xf numFmtId="0" fontId="59" fillId="2" borderId="4" xfId="0" applyFont="1" applyFill="1" applyBorder="1" applyAlignment="1">
      <alignment horizontal="left"/>
    </xf>
    <xf numFmtId="0" fontId="2" fillId="0" borderId="0" xfId="0" applyFont="1" applyAlignment="1">
      <alignment horizontal="center" vertical="top" wrapText="1"/>
    </xf>
  </cellXfs>
  <cellStyles count="333">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11" xfId="331" xr:uid="{00000000-0005-0000-0000-0000EE000000}"/>
    <cellStyle name="Normal 12" xfId="332" xr:uid="{00000000-0005-0000-0000-0000EF000000}"/>
    <cellStyle name="Normal 141" xfId="330" xr:uid="{00000000-0005-0000-0000-0000F0000000}"/>
    <cellStyle name="Normal 2" xfId="3" xr:uid="{00000000-0005-0000-0000-0000F1000000}"/>
    <cellStyle name="Normal 2 2" xfId="240" xr:uid="{00000000-0005-0000-0000-0000F2000000}"/>
    <cellStyle name="Normal 2 2 2" xfId="241" xr:uid="{00000000-0005-0000-0000-0000F3000000}"/>
    <cellStyle name="Normal 2 3" xfId="242" xr:uid="{00000000-0005-0000-0000-0000F4000000}"/>
    <cellStyle name="Normal 2 3 2" xfId="243" xr:uid="{00000000-0005-0000-0000-0000F5000000}"/>
    <cellStyle name="Normal 2 4" xfId="244" xr:uid="{00000000-0005-0000-0000-0000F6000000}"/>
    <cellStyle name="Normal 2 5" xfId="245" xr:uid="{00000000-0005-0000-0000-0000F7000000}"/>
    <cellStyle name="Normal 2 6" xfId="246" xr:uid="{00000000-0005-0000-0000-0000F8000000}"/>
    <cellStyle name="Normal 2 7" xfId="247" xr:uid="{00000000-0005-0000-0000-0000F9000000}"/>
    <cellStyle name="Normal 2 8" xfId="248" xr:uid="{00000000-0005-0000-0000-0000FA000000}"/>
    <cellStyle name="Normal 3" xfId="4" xr:uid="{00000000-0005-0000-0000-0000FB000000}"/>
    <cellStyle name="Normal 3 2" xfId="249" xr:uid="{00000000-0005-0000-0000-0000FC000000}"/>
    <cellStyle name="Normal 3 3" xfId="250" xr:uid="{00000000-0005-0000-0000-0000FD000000}"/>
    <cellStyle name="Normal 3 4" xfId="251" xr:uid="{00000000-0005-0000-0000-0000FE000000}"/>
    <cellStyle name="Normal 4" xfId="252" xr:uid="{00000000-0005-0000-0000-0000FF000000}"/>
    <cellStyle name="Normal 5" xfId="253" xr:uid="{00000000-0005-0000-0000-000000010000}"/>
    <cellStyle name="Normal 5 2" xfId="254" xr:uid="{00000000-0005-0000-0000-000001010000}"/>
    <cellStyle name="Normal 6" xfId="255" xr:uid="{00000000-0005-0000-0000-000002010000}"/>
    <cellStyle name="Normal 6 2" xfId="256" xr:uid="{00000000-0005-0000-0000-000003010000}"/>
    <cellStyle name="Normal 6 3" xfId="257" xr:uid="{00000000-0005-0000-0000-000004010000}"/>
    <cellStyle name="Normal 7" xfId="258" xr:uid="{00000000-0005-0000-0000-000005010000}"/>
    <cellStyle name="Normal 7 2" xfId="259" xr:uid="{00000000-0005-0000-0000-000006010000}"/>
    <cellStyle name="Normal 8" xfId="260" xr:uid="{00000000-0005-0000-0000-000007010000}"/>
    <cellStyle name="Normal 8 2" xfId="261" xr:uid="{00000000-0005-0000-0000-000008010000}"/>
    <cellStyle name="Normal 8 3" xfId="262" xr:uid="{00000000-0005-0000-0000-000009010000}"/>
    <cellStyle name="Normal 9" xfId="263" xr:uid="{00000000-0005-0000-0000-00000A010000}"/>
    <cellStyle name="Number0DecimalStyle" xfId="264" xr:uid="{00000000-0005-0000-0000-00000B010000}"/>
    <cellStyle name="Number0DecimalStyle 2" xfId="265" xr:uid="{00000000-0005-0000-0000-00000C010000}"/>
    <cellStyle name="Number10DecimalStyle" xfId="266" xr:uid="{00000000-0005-0000-0000-00000D010000}"/>
    <cellStyle name="Number1DecimalStyle" xfId="267" xr:uid="{00000000-0005-0000-0000-00000E010000}"/>
    <cellStyle name="Number2DecimalStyle" xfId="268" xr:uid="{00000000-0005-0000-0000-00000F010000}"/>
    <cellStyle name="Number2DecimalStyle 2" xfId="269" xr:uid="{00000000-0005-0000-0000-000010010000}"/>
    <cellStyle name="Number3DecimalStyle" xfId="270" xr:uid="{00000000-0005-0000-0000-000011010000}"/>
    <cellStyle name="Number4DecimalStyle" xfId="271" xr:uid="{00000000-0005-0000-0000-000012010000}"/>
    <cellStyle name="Number5DecimalStyle" xfId="272" xr:uid="{00000000-0005-0000-0000-000013010000}"/>
    <cellStyle name="Number6DecimalStyle" xfId="273" xr:uid="{00000000-0005-0000-0000-000014010000}"/>
    <cellStyle name="Number7DecimalStyle" xfId="274" xr:uid="{00000000-0005-0000-0000-000015010000}"/>
    <cellStyle name="Number8DecimalStyle" xfId="275" xr:uid="{00000000-0005-0000-0000-000016010000}"/>
    <cellStyle name="Number9DecimalStyle" xfId="276" xr:uid="{00000000-0005-0000-0000-000017010000}"/>
    <cellStyle name="over" xfId="277" xr:uid="{00000000-0005-0000-0000-000018010000}"/>
    <cellStyle name="Percent" xfId="2" builtinId="5"/>
    <cellStyle name="percent (0)" xfId="278" xr:uid="{00000000-0005-0000-0000-00001A010000}"/>
    <cellStyle name="Percent [0]" xfId="279" xr:uid="{00000000-0005-0000-0000-00001B010000}"/>
    <cellStyle name="Percent [0] 2" xfId="280" xr:uid="{00000000-0005-0000-0000-00001C010000}"/>
    <cellStyle name="Percent [00]" xfId="281" xr:uid="{00000000-0005-0000-0000-00001D010000}"/>
    <cellStyle name="Percent [00] 2" xfId="282" xr:uid="{00000000-0005-0000-0000-00001E010000}"/>
    <cellStyle name="Percent [2]" xfId="283" xr:uid="{00000000-0005-0000-0000-00001F010000}"/>
    <cellStyle name="Percent 10" xfId="284" xr:uid="{00000000-0005-0000-0000-000020010000}"/>
    <cellStyle name="Percent 2" xfId="285" xr:uid="{00000000-0005-0000-0000-000021010000}"/>
    <cellStyle name="Percent 2 2" xfId="286" xr:uid="{00000000-0005-0000-0000-000022010000}"/>
    <cellStyle name="Percent 2 3" xfId="287" xr:uid="{00000000-0005-0000-0000-000023010000}"/>
    <cellStyle name="Percent 2 4" xfId="288" xr:uid="{00000000-0005-0000-0000-000024010000}"/>
    <cellStyle name="Percent 3" xfId="289" xr:uid="{00000000-0005-0000-0000-000025010000}"/>
    <cellStyle name="Percent 3 2" xfId="290" xr:uid="{00000000-0005-0000-0000-000026010000}"/>
    <cellStyle name="Percent 4" xfId="291" xr:uid="{00000000-0005-0000-0000-000027010000}"/>
    <cellStyle name="Percent 6" xfId="292" xr:uid="{00000000-0005-0000-0000-000028010000}"/>
    <cellStyle name="PERCENTAGE" xfId="293" xr:uid="{00000000-0005-0000-0000-000029010000}"/>
    <cellStyle name="posit" xfId="294" xr:uid="{00000000-0005-0000-0000-00002A010000}"/>
    <cellStyle name="Powerpoint Style" xfId="295" xr:uid="{00000000-0005-0000-0000-00002B010000}"/>
    <cellStyle name="PrePop Currency (0)" xfId="296" xr:uid="{00000000-0005-0000-0000-00002C010000}"/>
    <cellStyle name="PrePop Currency (0) 2" xfId="297" xr:uid="{00000000-0005-0000-0000-00002D010000}"/>
    <cellStyle name="PrePop Currency (2)" xfId="298" xr:uid="{00000000-0005-0000-0000-00002E010000}"/>
    <cellStyle name="PrePop Currency (2) 2" xfId="299" xr:uid="{00000000-0005-0000-0000-00002F010000}"/>
    <cellStyle name="PrePop Units (0)" xfId="300" xr:uid="{00000000-0005-0000-0000-000030010000}"/>
    <cellStyle name="PrePop Units (0) 2" xfId="301" xr:uid="{00000000-0005-0000-0000-000031010000}"/>
    <cellStyle name="PrePop Units (1)" xfId="302" xr:uid="{00000000-0005-0000-0000-000032010000}"/>
    <cellStyle name="PrePop Units (1) 2" xfId="303" xr:uid="{00000000-0005-0000-0000-000033010000}"/>
    <cellStyle name="PrePop Units (2)" xfId="304" xr:uid="{00000000-0005-0000-0000-000034010000}"/>
    <cellStyle name="PrePop Units (2) 2" xfId="305" xr:uid="{00000000-0005-0000-0000-000035010000}"/>
    <cellStyle name="SingleTopDoubleBott" xfId="306" xr:uid="{00000000-0005-0000-0000-000036010000}"/>
    <cellStyle name="Standard_A" xfId="307" xr:uid="{00000000-0005-0000-0000-000037010000}"/>
    <cellStyle name="Style 1" xfId="308" xr:uid="{00000000-0005-0000-0000-000038010000}"/>
    <cellStyle name="Style 2" xfId="309" xr:uid="{00000000-0005-0000-0000-000039010000}"/>
    <cellStyle name="Style 3" xfId="310" xr:uid="{00000000-0005-0000-0000-00003A010000}"/>
    <cellStyle name="Style 4" xfId="311" xr:uid="{00000000-0005-0000-0000-00003B010000}"/>
    <cellStyle name="Text Indent A" xfId="312" xr:uid="{00000000-0005-0000-0000-00003C010000}"/>
    <cellStyle name="Text Indent B" xfId="313" xr:uid="{00000000-0005-0000-0000-00003D010000}"/>
    <cellStyle name="Text Indent B 2" xfId="314" xr:uid="{00000000-0005-0000-0000-00003E010000}"/>
    <cellStyle name="Text Indent C" xfId="315" xr:uid="{00000000-0005-0000-0000-00003F010000}"/>
    <cellStyle name="Text Indent C 2" xfId="316" xr:uid="{00000000-0005-0000-0000-000040010000}"/>
    <cellStyle name="TextStyle" xfId="317" xr:uid="{00000000-0005-0000-0000-000041010000}"/>
    <cellStyle name="Tickmark" xfId="318" xr:uid="{00000000-0005-0000-0000-000042010000}"/>
    <cellStyle name="TimStyle" xfId="319" xr:uid="{00000000-0005-0000-0000-000043010000}"/>
    <cellStyle name="Total 2" xfId="320" xr:uid="{00000000-0005-0000-0000-000044010000}"/>
    <cellStyle name="Total 3" xfId="321" xr:uid="{00000000-0005-0000-0000-000045010000}"/>
    <cellStyle name="Total 4" xfId="322" xr:uid="{00000000-0005-0000-0000-000046010000}"/>
    <cellStyle name="Underline" xfId="323" xr:uid="{00000000-0005-0000-0000-000047010000}"/>
    <cellStyle name="UnderlineDouble" xfId="324" xr:uid="{00000000-0005-0000-0000-000048010000}"/>
    <cellStyle name="Währung [0]_RESULTS" xfId="325" xr:uid="{00000000-0005-0000-0000-000049010000}"/>
    <cellStyle name="Währung_RESULTS" xfId="326" xr:uid="{00000000-0005-0000-0000-00004A010000}"/>
    <cellStyle name="표준_BINV" xfId="327" xr:uid="{00000000-0005-0000-0000-00004B010000}"/>
    <cellStyle name="標準_99B-05PE_IC2" xfId="328" xr:uid="{00000000-0005-0000-0000-00004C01000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91875200"/>
        <c:axId val="91876736"/>
      </c:lineChart>
      <c:catAx>
        <c:axId val="9187520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91876736"/>
        <c:crosses val="autoZero"/>
        <c:auto val="1"/>
        <c:lblAlgn val="ctr"/>
        <c:lblOffset val="100"/>
        <c:tickLblSkip val="7"/>
        <c:noMultiLvlLbl val="1"/>
      </c:catAx>
      <c:valAx>
        <c:axId val="91876736"/>
        <c:scaling>
          <c:orientation val="minMax"/>
        </c:scaling>
        <c:delete val="0"/>
        <c:axPos val="l"/>
        <c:majorGridlines/>
        <c:numFmt formatCode="0.0\x" sourceLinked="0"/>
        <c:majorTickMark val="out"/>
        <c:minorTickMark val="none"/>
        <c:tickLblPos val="nextTo"/>
        <c:crossAx val="9187520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Monthly Active Users &amp; Avg Revenue Per User</a:t>
            </a:r>
          </a:p>
        </c:rich>
      </c:tx>
      <c:layout>
        <c:manualLayout>
          <c:xMode val="edge"/>
          <c:yMode val="edge"/>
          <c:x val="0.13640461686910277"/>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'Earnings Model'!$B$50</c:f>
              <c:strCache>
                <c:ptCount val="1"/>
                <c:pt idx="0">
                  <c:v>Total Monthly Active Users (MAU) </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9-5C55-4DB1-A25C-6A7A09C8C7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A-5C55-4DB1-A25C-6A7A09C8C7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E-2462-4DF9-A2F7-046938A175E7}"/>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F-2462-4DF9-A2F7-046938A175E7}"/>
              </c:ext>
            </c:extLst>
          </c:dPt>
          <c:dPt>
            <c:idx val="9"/>
            <c:invertIfNegative val="0"/>
            <c:bubble3D val="0"/>
            <c:extLst>
              <c:ext xmlns:c16="http://schemas.microsoft.com/office/drawing/2014/chart" uri="{C3380CC4-5D6E-409C-BE32-E72D297353CC}">
                <c16:uniqueId val="{00000000-2462-4DF9-A2F7-046938A175E7}"/>
              </c:ext>
            </c:extLst>
          </c:dPt>
          <c:cat>
            <c:strRef>
              <c:f>('Earnings Model'!$T$34,'Earnings Model'!$U$34,'Earnings Model'!$V$34,'Earnings Model'!$X$34,'Earnings Model'!$Y$34,'Earnings Model'!$Z$34,'Earnings Model'!$AA$34,'Earnings Model'!$AC$34)</c:f>
              <c:strCache>
                <c:ptCount val="8"/>
                <c:pt idx="0">
                  <c:v> 2Q19 </c:v>
                </c:pt>
                <c:pt idx="1">
                  <c:v> 3Q19 </c:v>
                </c:pt>
                <c:pt idx="2">
                  <c:v> 4Q19 </c:v>
                </c:pt>
                <c:pt idx="3">
                  <c:v> 1Q20 </c:v>
                </c:pt>
                <c:pt idx="4">
                  <c:v> 2Q20E </c:v>
                </c:pt>
                <c:pt idx="5">
                  <c:v> 3Q20E </c:v>
                </c:pt>
                <c:pt idx="6">
                  <c:v> 4Q20E </c:v>
                </c:pt>
                <c:pt idx="7">
                  <c:v> 1Q21E </c:v>
                </c:pt>
              </c:strCache>
            </c:strRef>
          </c:cat>
          <c:val>
            <c:numRef>
              <c:f>('Earnings Model'!$T$50,'Earnings Model'!$U$50,'Earnings Model'!$V$50,'Earnings Model'!$X$50,'Earnings Model'!$Y$50,'Earnings Model'!$Z$50,'Earnings Model'!$AA$50,'Earnings Model'!$AC$50)</c:f>
              <c:numCache>
                <c:formatCode>_(* #,##0_);_(* \(#,##0\);_(* "-"??_);_(@_)</c:formatCode>
                <c:ptCount val="8"/>
                <c:pt idx="0">
                  <c:v>2414</c:v>
                </c:pt>
                <c:pt idx="1">
                  <c:v>2449</c:v>
                </c:pt>
                <c:pt idx="2">
                  <c:v>2497.8000000000002</c:v>
                </c:pt>
                <c:pt idx="3">
                  <c:v>2603</c:v>
                </c:pt>
                <c:pt idx="4">
                  <c:v>2667.0800000000004</c:v>
                </c:pt>
                <c:pt idx="5">
                  <c:v>2647.4950531307418</c:v>
                </c:pt>
                <c:pt idx="6">
                  <c:v>2697.279398921487</c:v>
                </c:pt>
                <c:pt idx="7">
                  <c:v>2839.0306713576824</c:v>
                </c:pt>
              </c:numCache>
            </c:numRef>
          </c:val>
          <c:extLst>
            <c:ext xmlns:c16="http://schemas.microsoft.com/office/drawing/2014/chart" uri="{C3380CC4-5D6E-409C-BE32-E72D297353CC}">
              <c16:uniqueId val="{00000001-2462-4DF9-A2F7-046938A175E7}"/>
            </c:ext>
          </c:extLst>
        </c:ser>
        <c:dLbls>
          <c:showLegendKey val="0"/>
          <c:showVal val="0"/>
          <c:showCatName val="0"/>
          <c:showSerName val="0"/>
          <c:showPercent val="0"/>
          <c:showBubbleSize val="0"/>
        </c:dLbls>
        <c:gapWidth val="150"/>
        <c:axId val="92830720"/>
        <c:axId val="92840704"/>
      </c:barChart>
      <c:lineChart>
        <c:grouping val="standard"/>
        <c:varyColors val="0"/>
        <c:ser>
          <c:idx val="1"/>
          <c:order val="1"/>
          <c:tx>
            <c:strRef>
              <c:f>'Earnings Model'!$B$60</c:f>
              <c:strCache>
                <c:ptCount val="1"/>
                <c:pt idx="0">
                  <c:v>Total Average Revenue Per User (ARPU) </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C55-4DB1-A25C-6A7A09C8C7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C-5C55-4DB1-A25C-6A7A09C8C7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0-2462-4DF9-A2F7-046938A175E7}"/>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462-4DF9-A2F7-046938A175E7}"/>
              </c:ext>
            </c:extLst>
          </c:dPt>
          <c:cat>
            <c:strRef>
              <c:f>('Earnings Model'!$T$34,'Earnings Model'!$U$34,'Earnings Model'!$V$34,'Earnings Model'!$X$34,'Earnings Model'!$Y$34,'Earnings Model'!$Z$34,'Earnings Model'!$AA$34,'Earnings Model'!$AC$34)</c:f>
              <c:strCache>
                <c:ptCount val="8"/>
                <c:pt idx="0">
                  <c:v> 2Q19 </c:v>
                </c:pt>
                <c:pt idx="1">
                  <c:v> 3Q19 </c:v>
                </c:pt>
                <c:pt idx="2">
                  <c:v> 4Q19 </c:v>
                </c:pt>
                <c:pt idx="3">
                  <c:v> 1Q20 </c:v>
                </c:pt>
                <c:pt idx="4">
                  <c:v> 2Q20E </c:v>
                </c:pt>
                <c:pt idx="5">
                  <c:v> 3Q20E </c:v>
                </c:pt>
                <c:pt idx="6">
                  <c:v> 4Q20E </c:v>
                </c:pt>
                <c:pt idx="7">
                  <c:v> 1Q21E </c:v>
                </c:pt>
              </c:strCache>
            </c:strRef>
          </c:cat>
          <c:val>
            <c:numRef>
              <c:f>('Earnings Model'!$T$60,'Earnings Model'!$U$60,'Earnings Model'!$V$60,'Earnings Model'!$X$60,'Earnings Model'!$Y$60,'Earnings Model'!$Z$60,'Earnings Model'!$AA$60,'Earnings Model'!$AC$60)</c:f>
              <c:numCache>
                <c:formatCode>_(* #,##0.00_);_(* \(#,##0.00\);_(* "-"??_);_(@_)</c:formatCode>
                <c:ptCount val="8"/>
                <c:pt idx="0">
                  <c:v>7.0505219206680581</c:v>
                </c:pt>
                <c:pt idx="1">
                  <c:v>7.2597162245527453</c:v>
                </c:pt>
                <c:pt idx="2">
                  <c:v>8.5234899328859051</c:v>
                </c:pt>
                <c:pt idx="3">
                  <c:v>6.954595357590966</c:v>
                </c:pt>
                <c:pt idx="4">
                  <c:v>7.2985272948418256</c:v>
                </c:pt>
                <c:pt idx="5">
                  <c:v>8.1364392014061178</c:v>
                </c:pt>
                <c:pt idx="6">
                  <c:v>9.3685950931230888</c:v>
                </c:pt>
                <c:pt idx="7">
                  <c:v>8.1906179253577882</c:v>
                </c:pt>
              </c:numCache>
            </c:numRef>
          </c:val>
          <c:smooth val="0"/>
          <c:extLst>
            <c:ext xmlns:c16="http://schemas.microsoft.com/office/drawing/2014/chart" uri="{C3380CC4-5D6E-409C-BE32-E72D297353CC}">
              <c16:uniqueId val="{00000002-2462-4DF9-A2F7-046938A175E7}"/>
            </c:ext>
          </c:extLst>
        </c:ser>
        <c:dLbls>
          <c:showLegendKey val="0"/>
          <c:showVal val="0"/>
          <c:showCatName val="0"/>
          <c:showSerName val="0"/>
          <c:showPercent val="0"/>
          <c:showBubbleSize val="0"/>
        </c:dLbls>
        <c:marker val="1"/>
        <c:smooth val="0"/>
        <c:axId val="92848128"/>
        <c:axId val="92842240"/>
      </c:lineChart>
      <c:catAx>
        <c:axId val="92830720"/>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92840704"/>
        <c:crosses val="autoZero"/>
        <c:auto val="1"/>
        <c:lblAlgn val="ctr"/>
        <c:lblOffset val="100"/>
        <c:noMultiLvlLbl val="0"/>
      </c:catAx>
      <c:valAx>
        <c:axId val="92840704"/>
        <c:scaling>
          <c:orientation val="minMax"/>
        </c:scaling>
        <c:delete val="0"/>
        <c:axPos val="l"/>
        <c:majorGridlines>
          <c:spPr>
            <a:ln>
              <a:prstDash val="dash"/>
            </a:ln>
          </c:spPr>
        </c:majorGridlines>
        <c:numFmt formatCode="#,##0" sourceLinked="0"/>
        <c:majorTickMark val="out"/>
        <c:minorTickMark val="none"/>
        <c:tickLblPos val="nextTo"/>
        <c:spPr>
          <a:ln>
            <a:noFill/>
          </a:ln>
        </c:spPr>
        <c:crossAx val="92830720"/>
        <c:crosses val="autoZero"/>
        <c:crossBetween val="between"/>
      </c:valAx>
      <c:valAx>
        <c:axId val="92842240"/>
        <c:scaling>
          <c:orientation val="minMax"/>
        </c:scaling>
        <c:delete val="0"/>
        <c:axPos val="r"/>
        <c:numFmt formatCode="&quot;$&quot;#,##0.0" sourceLinked="0"/>
        <c:majorTickMark val="out"/>
        <c:minorTickMark val="none"/>
        <c:tickLblPos val="nextTo"/>
        <c:crossAx val="92848128"/>
        <c:crosses val="max"/>
        <c:crossBetween val="between"/>
      </c:valAx>
      <c:catAx>
        <c:axId val="92848128"/>
        <c:scaling>
          <c:orientation val="minMax"/>
        </c:scaling>
        <c:delete val="1"/>
        <c:axPos val="b"/>
        <c:numFmt formatCode="General" sourceLinked="1"/>
        <c:majorTickMark val="out"/>
        <c:minorTickMark val="none"/>
        <c:tickLblPos val="nextTo"/>
        <c:crossAx val="92842240"/>
        <c:crosses val="autoZero"/>
        <c:auto val="1"/>
        <c:lblAlgn val="ctr"/>
        <c:lblOffset val="100"/>
        <c:noMultiLvlLbl val="0"/>
      </c:catAx>
      <c:spPr>
        <a:solidFill>
          <a:schemeClr val="bg1">
            <a:lumMod val="95000"/>
          </a:schemeClr>
        </a:solidFill>
      </c:spPr>
    </c:plotArea>
    <c:legend>
      <c:legendPos val="b"/>
      <c:layout>
        <c:manualLayout>
          <c:xMode val="edge"/>
          <c:yMode val="edge"/>
          <c:x val="1.0407843079484102E-3"/>
          <c:y val="0.82587988043424243"/>
          <c:w val="0.99567776198227798"/>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236802</xdr:colOff>
      <xdr:row>33</xdr:row>
      <xdr:rowOff>0</xdr:rowOff>
    </xdr:from>
    <xdr:to>
      <xdr:col>6</xdr:col>
      <xdr:colOff>718343</xdr:colOff>
      <xdr:row>33</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59055</xdr:colOff>
      <xdr:row>3</xdr:row>
      <xdr:rowOff>127635</xdr:rowOff>
    </xdr:from>
    <xdr:to>
      <xdr:col>5</xdr:col>
      <xdr:colOff>160020</xdr:colOff>
      <xdr:row>12</xdr:row>
      <xdr:rowOff>30480</xdr:rowOff>
    </xdr:to>
    <xdr:graphicFrame macro="">
      <xdr:nvGraphicFramePr>
        <xdr:cNvPr id="2" name="Chart 1">
          <a:extLst>
            <a:ext uri="{FF2B5EF4-FFF2-40B4-BE49-F238E27FC236}">
              <a16:creationId xmlns:a16="http://schemas.microsoft.com/office/drawing/2014/main" id="{822A172C-7B75-4C02-A74C-56608478D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gutenbergresearch.com/certificateprogram.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25"/>
  <sheetViews>
    <sheetView showGridLines="0" topLeftCell="A18" workbookViewId="0">
      <selection activeCell="B4" sqref="B4"/>
    </sheetView>
  </sheetViews>
  <sheetFormatPr defaultRowHeight="14.4" x14ac:dyDescent="0.3"/>
  <cols>
    <col min="1" max="1" width="1" customWidth="1"/>
    <col min="2" max="2" width="182.6640625" style="118" customWidth="1"/>
  </cols>
  <sheetData>
    <row r="2" spans="2:2" ht="21" x14ac:dyDescent="0.3">
      <c r="B2" s="123" t="s">
        <v>119</v>
      </c>
    </row>
    <row r="3" spans="2:2" ht="115.2" x14ac:dyDescent="0.3">
      <c r="B3" s="113" t="s">
        <v>152</v>
      </c>
    </row>
    <row r="4" spans="2:2" ht="43.2" x14ac:dyDescent="0.3">
      <c r="B4" s="114" t="s">
        <v>120</v>
      </c>
    </row>
    <row r="5" spans="2:2" ht="28.8" x14ac:dyDescent="0.3">
      <c r="B5" s="114" t="s">
        <v>132</v>
      </c>
    </row>
    <row r="6" spans="2:2" ht="100.8" x14ac:dyDescent="0.3">
      <c r="B6" s="114" t="s">
        <v>121</v>
      </c>
    </row>
    <row r="7" spans="2:2" ht="43.2" x14ac:dyDescent="0.3">
      <c r="B7" s="113" t="s">
        <v>140</v>
      </c>
    </row>
    <row r="8" spans="2:2" ht="28.8" x14ac:dyDescent="0.3">
      <c r="B8" s="114" t="s">
        <v>122</v>
      </c>
    </row>
    <row r="9" spans="2:2" x14ac:dyDescent="0.3">
      <c r="B9" s="114" t="s">
        <v>123</v>
      </c>
    </row>
    <row r="10" spans="2:2" ht="57.6" x14ac:dyDescent="0.3">
      <c r="B10" s="124" t="s">
        <v>124</v>
      </c>
    </row>
    <row r="11" spans="2:2" x14ac:dyDescent="0.3">
      <c r="B11" s="113" t="s">
        <v>133</v>
      </c>
    </row>
    <row r="12" spans="2:2" x14ac:dyDescent="0.3">
      <c r="B12" s="114" t="s">
        <v>125</v>
      </c>
    </row>
    <row r="13" spans="2:2" ht="43.2" x14ac:dyDescent="0.3">
      <c r="B13" s="113" t="s">
        <v>134</v>
      </c>
    </row>
    <row r="14" spans="2:2" x14ac:dyDescent="0.3">
      <c r="B14" s="125" t="s">
        <v>126</v>
      </c>
    </row>
    <row r="15" spans="2:2" x14ac:dyDescent="0.3">
      <c r="B15" s="115" t="s">
        <v>127</v>
      </c>
    </row>
    <row r="16" spans="2:2" x14ac:dyDescent="0.3">
      <c r="B16" s="115" t="s">
        <v>128</v>
      </c>
    </row>
    <row r="17" spans="2:2" ht="162" customHeight="1" x14ac:dyDescent="0.3">
      <c r="B17" s="126" t="s">
        <v>129</v>
      </c>
    </row>
    <row r="18" spans="2:2" x14ac:dyDescent="0.3">
      <c r="B18" s="116" t="s">
        <v>130</v>
      </c>
    </row>
    <row r="19" spans="2:2" x14ac:dyDescent="0.3">
      <c r="B19" s="117" t="s">
        <v>131</v>
      </c>
    </row>
    <row r="21" spans="2:2" ht="21" x14ac:dyDescent="0.3">
      <c r="B21" s="123" t="s">
        <v>135</v>
      </c>
    </row>
    <row r="22" spans="2:2" x14ac:dyDescent="0.3">
      <c r="B22" s="119" t="s">
        <v>136</v>
      </c>
    </row>
    <row r="23" spans="2:2" ht="100.8" x14ac:dyDescent="0.3">
      <c r="B23" s="120" t="s">
        <v>137</v>
      </c>
    </row>
    <row r="24" spans="2:2" ht="43.2" x14ac:dyDescent="0.3">
      <c r="B24" s="121" t="s">
        <v>138</v>
      </c>
    </row>
    <row r="25" spans="2:2" ht="172.8" x14ac:dyDescent="0.3">
      <c r="B25" s="122" t="s">
        <v>139</v>
      </c>
    </row>
  </sheetData>
  <hyperlinks>
    <hyperlink ref="B19"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I90"/>
  <sheetViews>
    <sheetView showGridLines="0" tabSelected="1" zoomScaleNormal="100" workbookViewId="0">
      <pane xSplit="3" ySplit="12" topLeftCell="V13" activePane="bottomRight" state="frozen"/>
      <selection pane="topRight" activeCell="D1" sqref="D1"/>
      <selection pane="bottomLeft" activeCell="A13" sqref="A13"/>
      <selection pane="bottomRight" activeCell="B11" sqref="B11:C11"/>
    </sheetView>
  </sheetViews>
  <sheetFormatPr defaultColWidth="8.88671875" defaultRowHeight="14.4" outlineLevelRow="1" outlineLevelCol="1" x14ac:dyDescent="0.3"/>
  <cols>
    <col min="1" max="1" width="1.6640625" style="4" customWidth="1"/>
    <col min="2" max="2" width="37.88671875" style="4" customWidth="1"/>
    <col min="3" max="3" width="10.6640625" style="4" customWidth="1"/>
    <col min="4" max="5" width="11.5546875" style="3" hidden="1" customWidth="1" outlineLevel="1"/>
    <col min="6" max="7" width="11.5546875" style="11" hidden="1" customWidth="1" outlineLevel="1"/>
    <col min="8" max="8" width="11.5546875" style="11" customWidth="1" collapsed="1"/>
    <col min="9" max="10" width="11.5546875" style="3" hidden="1" customWidth="1" outlineLevel="1"/>
    <col min="11" max="12" width="11.5546875" style="11" hidden="1" customWidth="1" outlineLevel="1"/>
    <col min="13" max="13" width="11.5546875" style="11" customWidth="1" collapsed="1"/>
    <col min="14" max="15" width="11.5546875" style="3" hidden="1" customWidth="1" outlineLevel="1"/>
    <col min="16" max="17" width="11.5546875" style="11" hidden="1" customWidth="1" outlineLevel="1"/>
    <col min="18" max="18" width="11.5546875" style="11" customWidth="1" collapsed="1"/>
    <col min="19" max="20" width="11.5546875" style="3" customWidth="1" outlineLevel="1"/>
    <col min="21" max="22" width="11.5546875" style="11" customWidth="1" outlineLevel="1"/>
    <col min="23" max="23" width="11.5546875" style="11" customWidth="1"/>
    <col min="24" max="25" width="11.5546875" style="3" customWidth="1" outlineLevel="1"/>
    <col min="26" max="27" width="11.5546875" style="11" customWidth="1" outlineLevel="1"/>
    <col min="28" max="28" width="11.5546875" style="11" customWidth="1"/>
    <col min="29" max="30" width="11.5546875" style="3" customWidth="1" outlineLevel="1"/>
    <col min="31" max="32" width="11.5546875" style="11" customWidth="1" outlineLevel="1"/>
    <col min="33" max="33" width="11.5546875" style="11" customWidth="1"/>
    <col min="34" max="36" width="8.88671875" style="4"/>
    <col min="37" max="37" width="10.44140625" style="4" bestFit="1" customWidth="1"/>
    <col min="38" max="16384" width="8.88671875" style="4"/>
  </cols>
  <sheetData>
    <row r="1" spans="1:61" ht="9" customHeight="1" x14ac:dyDescent="0.3">
      <c r="B1" s="127" t="s">
        <v>15</v>
      </c>
    </row>
    <row r="2" spans="1:61" ht="59.25" customHeight="1" x14ac:dyDescent="0.3">
      <c r="B2" s="195" t="s">
        <v>14</v>
      </c>
      <c r="C2" s="196"/>
      <c r="K2" s="12"/>
    </row>
    <row r="3" spans="1:61" x14ac:dyDescent="0.3">
      <c r="B3" s="185" t="s">
        <v>154</v>
      </c>
      <c r="C3" s="186"/>
      <c r="D3" s="13"/>
      <c r="G3" s="14"/>
      <c r="H3" s="14"/>
    </row>
    <row r="4" spans="1:61" x14ac:dyDescent="0.3">
      <c r="B4" s="187" t="s">
        <v>155</v>
      </c>
      <c r="C4" s="188"/>
      <c r="D4" s="13"/>
      <c r="G4" s="14"/>
      <c r="H4" s="14"/>
      <c r="BI4" s="4" t="s">
        <v>15</v>
      </c>
    </row>
    <row r="5" spans="1:61" x14ac:dyDescent="0.3">
      <c r="B5" s="189" t="s">
        <v>156</v>
      </c>
      <c r="C5" s="190"/>
      <c r="D5" s="15"/>
      <c r="E5" s="13"/>
      <c r="F5" s="13"/>
      <c r="G5" s="14"/>
      <c r="H5" s="14"/>
      <c r="I5" s="14"/>
      <c r="J5" s="14"/>
      <c r="K5" s="14"/>
      <c r="L5" s="14"/>
      <c r="M5" s="13"/>
      <c r="N5" s="13"/>
      <c r="O5" s="13"/>
      <c r="P5" s="13"/>
      <c r="Q5" s="13"/>
      <c r="R5" s="13"/>
      <c r="S5" s="13"/>
      <c r="T5" s="13"/>
      <c r="U5" s="13"/>
      <c r="V5" s="13"/>
      <c r="W5" s="13"/>
      <c r="X5" s="13"/>
      <c r="Y5" s="13"/>
      <c r="Z5" s="13"/>
      <c r="AA5" s="13"/>
      <c r="AB5" s="13"/>
      <c r="AC5" s="13"/>
      <c r="AD5" s="13"/>
      <c r="AE5" s="13"/>
      <c r="AF5" s="13"/>
      <c r="AG5" s="13"/>
    </row>
    <row r="6" spans="1:61" s="138" customFormat="1" ht="14.4" hidden="1" customHeight="1" x14ac:dyDescent="0.3">
      <c r="B6" s="169"/>
      <c r="C6" s="170"/>
      <c r="D6" s="171"/>
      <c r="E6" s="171"/>
      <c r="F6" s="171"/>
      <c r="G6" s="154"/>
      <c r="H6" s="154"/>
      <c r="I6" s="171"/>
      <c r="J6" s="171"/>
      <c r="K6" s="171"/>
      <c r="L6" s="171"/>
      <c r="M6" s="172"/>
      <c r="N6" s="171"/>
      <c r="O6" s="171"/>
      <c r="P6" s="171"/>
      <c r="Q6" s="171"/>
      <c r="R6" s="171"/>
      <c r="S6" s="171"/>
      <c r="T6" s="173"/>
      <c r="U6" s="174"/>
      <c r="V6" s="171"/>
      <c r="W6" s="173"/>
      <c r="X6" s="171"/>
      <c r="Y6" s="171"/>
      <c r="Z6" s="171"/>
      <c r="AA6" s="171"/>
      <c r="AB6" s="171"/>
      <c r="AC6" s="171"/>
      <c r="AD6" s="171"/>
      <c r="AE6" s="171"/>
      <c r="AF6" s="171"/>
      <c r="AG6" s="171"/>
    </row>
    <row r="7" spans="1:61" s="138" customFormat="1" ht="14.4" hidden="1" customHeight="1" x14ac:dyDescent="0.3">
      <c r="B7" s="175"/>
      <c r="C7" s="176"/>
      <c r="D7" s="171"/>
      <c r="E7" s="171"/>
      <c r="F7" s="171"/>
      <c r="G7" s="171"/>
      <c r="H7" s="142"/>
      <c r="I7" s="142"/>
      <c r="J7" s="142"/>
      <c r="K7" s="142"/>
      <c r="L7" s="142"/>
      <c r="M7" s="142"/>
      <c r="N7" s="142"/>
      <c r="O7" s="142"/>
      <c r="P7" s="142"/>
      <c r="Q7" s="142"/>
      <c r="R7" s="142"/>
      <c r="S7" s="142"/>
      <c r="T7" s="173"/>
      <c r="U7" s="174"/>
      <c r="V7" s="142"/>
      <c r="W7" s="173"/>
      <c r="X7" s="142"/>
      <c r="Y7" s="142"/>
      <c r="Z7" s="142"/>
      <c r="AA7" s="142"/>
      <c r="AB7" s="142"/>
      <c r="AC7" s="142"/>
      <c r="AD7" s="142"/>
      <c r="AE7" s="142"/>
      <c r="AF7" s="142"/>
      <c r="AG7" s="142"/>
    </row>
    <row r="8" spans="1:61" s="138" customFormat="1" ht="14.4" hidden="1" customHeight="1" x14ac:dyDescent="0.3">
      <c r="B8" s="175"/>
      <c r="C8" s="177"/>
      <c r="D8" s="171"/>
      <c r="E8" s="171"/>
      <c r="F8" s="153"/>
      <c r="G8" s="171"/>
      <c r="H8" s="142"/>
      <c r="I8" s="142"/>
      <c r="J8" s="142"/>
      <c r="K8" s="142"/>
      <c r="L8" s="142"/>
      <c r="M8" s="142"/>
      <c r="N8" s="142"/>
      <c r="O8" s="178"/>
      <c r="P8" s="142"/>
      <c r="Q8" s="142"/>
      <c r="R8" s="142"/>
      <c r="S8" s="133"/>
      <c r="T8" s="173"/>
      <c r="U8" s="179"/>
      <c r="V8" s="179"/>
      <c r="W8" s="133"/>
      <c r="X8" s="179"/>
      <c r="Y8" s="179"/>
      <c r="Z8" s="144"/>
      <c r="AA8" s="140"/>
      <c r="AB8" s="144"/>
      <c r="AC8" s="133"/>
      <c r="AD8" s="133"/>
      <c r="AE8" s="133"/>
      <c r="AF8" s="144"/>
      <c r="AG8" s="133"/>
    </row>
    <row r="9" spans="1:61" s="138" customFormat="1" ht="14.4" hidden="1" customHeight="1" x14ac:dyDescent="0.3">
      <c r="B9" s="180"/>
      <c r="C9" s="181"/>
      <c r="D9" s="171"/>
      <c r="E9" s="171"/>
      <c r="F9" s="153"/>
      <c r="G9" s="171"/>
      <c r="H9" s="144"/>
      <c r="I9" s="144"/>
      <c r="J9" s="144"/>
      <c r="K9" s="144"/>
      <c r="L9" s="144"/>
      <c r="M9" s="144"/>
      <c r="N9" s="144"/>
      <c r="O9" s="144"/>
      <c r="P9" s="144"/>
      <c r="Q9" s="144"/>
      <c r="R9" s="144"/>
      <c r="S9" s="151"/>
      <c r="T9" s="133"/>
      <c r="U9" s="182"/>
      <c r="V9" s="183"/>
      <c r="W9" s="142"/>
      <c r="X9" s="184"/>
      <c r="Y9" s="142"/>
      <c r="Z9" s="142"/>
      <c r="AA9" s="142"/>
      <c r="AB9" s="144"/>
      <c r="AC9" s="144"/>
      <c r="AD9" s="144"/>
      <c r="AE9" s="144"/>
      <c r="AF9" s="144"/>
      <c r="AG9" s="144"/>
    </row>
    <row r="10" spans="1:61" ht="17.399999999999999" customHeight="1" x14ac:dyDescent="0.3">
      <c r="B10" s="127" t="s">
        <v>15</v>
      </c>
      <c r="D10" s="17"/>
      <c r="E10" s="17"/>
      <c r="F10" s="17"/>
      <c r="G10" s="17"/>
      <c r="H10" s="18"/>
      <c r="I10" s="17"/>
      <c r="J10" s="17"/>
      <c r="K10" s="17"/>
      <c r="L10" s="17"/>
      <c r="M10" s="17"/>
      <c r="N10" s="17"/>
      <c r="O10" s="17"/>
      <c r="P10" s="17"/>
      <c r="Q10" s="17"/>
      <c r="R10" s="17"/>
      <c r="S10" s="110"/>
      <c r="T10" s="110"/>
      <c r="U10" s="161"/>
      <c r="V10" s="167"/>
      <c r="W10" s="168"/>
      <c r="X10" s="161"/>
      <c r="Y10" s="110"/>
      <c r="Z10" s="110"/>
      <c r="AA10" s="111"/>
      <c r="AB10" s="13"/>
      <c r="AC10" s="110"/>
      <c r="AD10" s="110"/>
      <c r="AE10" s="110"/>
      <c r="AF10" s="111"/>
      <c r="AG10" s="13"/>
    </row>
    <row r="11" spans="1:61" ht="15.6" x14ac:dyDescent="0.3">
      <c r="A11" s="207"/>
      <c r="B11" s="191" t="s">
        <v>74</v>
      </c>
      <c r="C11" s="192"/>
      <c r="D11" s="26" t="s">
        <v>45</v>
      </c>
      <c r="E11" s="26" t="s">
        <v>46</v>
      </c>
      <c r="F11" s="26" t="s">
        <v>47</v>
      </c>
      <c r="G11" s="26" t="s">
        <v>48</v>
      </c>
      <c r="H11" s="79" t="s">
        <v>48</v>
      </c>
      <c r="I11" s="26" t="s">
        <v>32</v>
      </c>
      <c r="J11" s="26" t="s">
        <v>37</v>
      </c>
      <c r="K11" s="26" t="s">
        <v>38</v>
      </c>
      <c r="L11" s="26" t="s">
        <v>39</v>
      </c>
      <c r="M11" s="79" t="s">
        <v>39</v>
      </c>
      <c r="N11" s="26" t="s">
        <v>34</v>
      </c>
      <c r="O11" s="26" t="s">
        <v>33</v>
      </c>
      <c r="P11" s="26" t="s">
        <v>35</v>
      </c>
      <c r="Q11" s="26" t="s">
        <v>36</v>
      </c>
      <c r="R11" s="79" t="s">
        <v>36</v>
      </c>
      <c r="S11" s="26" t="s">
        <v>54</v>
      </c>
      <c r="T11" s="26" t="s">
        <v>55</v>
      </c>
      <c r="U11" s="26" t="s">
        <v>56</v>
      </c>
      <c r="V11" s="26" t="s">
        <v>57</v>
      </c>
      <c r="W11" s="79" t="s">
        <v>57</v>
      </c>
      <c r="X11" s="26" t="s">
        <v>58</v>
      </c>
      <c r="Y11" s="28" t="s">
        <v>59</v>
      </c>
      <c r="Z11" s="28" t="s">
        <v>60</v>
      </c>
      <c r="AA11" s="28" t="s">
        <v>61</v>
      </c>
      <c r="AB11" s="81" t="s">
        <v>61</v>
      </c>
      <c r="AC11" s="28" t="s">
        <v>62</v>
      </c>
      <c r="AD11" s="28" t="s">
        <v>63</v>
      </c>
      <c r="AE11" s="28" t="s">
        <v>64</v>
      </c>
      <c r="AF11" s="28" t="s">
        <v>65</v>
      </c>
      <c r="AG11" s="81" t="s">
        <v>65</v>
      </c>
    </row>
    <row r="12" spans="1:61" ht="17.399999999999999" customHeight="1" x14ac:dyDescent="0.45">
      <c r="A12" s="207"/>
      <c r="B12" s="193" t="s">
        <v>3</v>
      </c>
      <c r="C12" s="194"/>
      <c r="D12" s="27" t="s">
        <v>49</v>
      </c>
      <c r="E12" s="27" t="s">
        <v>50</v>
      </c>
      <c r="F12" s="27" t="s">
        <v>51</v>
      </c>
      <c r="G12" s="27" t="s">
        <v>52</v>
      </c>
      <c r="H12" s="80" t="s">
        <v>53</v>
      </c>
      <c r="I12" s="27" t="s">
        <v>40</v>
      </c>
      <c r="J12" s="27" t="s">
        <v>41</v>
      </c>
      <c r="K12" s="27" t="s">
        <v>42</v>
      </c>
      <c r="L12" s="27" t="s">
        <v>43</v>
      </c>
      <c r="M12" s="80" t="s">
        <v>44</v>
      </c>
      <c r="N12" s="27" t="s">
        <v>31</v>
      </c>
      <c r="O12" s="27" t="s">
        <v>30</v>
      </c>
      <c r="P12" s="27" t="s">
        <v>29</v>
      </c>
      <c r="Q12" s="27" t="s">
        <v>28</v>
      </c>
      <c r="R12" s="80" t="s">
        <v>27</v>
      </c>
      <c r="S12" s="27" t="s">
        <v>141</v>
      </c>
      <c r="T12" s="27" t="s">
        <v>147</v>
      </c>
      <c r="U12" s="27" t="s">
        <v>148</v>
      </c>
      <c r="V12" s="27" t="s">
        <v>149</v>
      </c>
      <c r="W12" s="80" t="s">
        <v>150</v>
      </c>
      <c r="X12" s="27" t="s">
        <v>151</v>
      </c>
      <c r="Y12" s="25" t="s">
        <v>106</v>
      </c>
      <c r="Z12" s="25" t="s">
        <v>107</v>
      </c>
      <c r="AA12" s="25" t="s">
        <v>108</v>
      </c>
      <c r="AB12" s="82" t="s">
        <v>109</v>
      </c>
      <c r="AC12" s="25" t="s">
        <v>110</v>
      </c>
      <c r="AD12" s="25" t="s">
        <v>111</v>
      </c>
      <c r="AE12" s="25" t="s">
        <v>112</v>
      </c>
      <c r="AF12" s="25" t="s">
        <v>113</v>
      </c>
      <c r="AG12" s="82" t="s">
        <v>114</v>
      </c>
    </row>
    <row r="13" spans="1:61" x14ac:dyDescent="0.3">
      <c r="A13" s="138"/>
      <c r="B13" s="199" t="s">
        <v>19</v>
      </c>
      <c r="C13" s="200"/>
      <c r="D13" s="29">
        <v>5382</v>
      </c>
      <c r="E13" s="29">
        <v>6436</v>
      </c>
      <c r="F13" s="29">
        <v>7011</v>
      </c>
      <c r="G13" s="29">
        <v>8809</v>
      </c>
      <c r="H13" s="30">
        <f>SUM(D13:G13)</f>
        <v>27638</v>
      </c>
      <c r="I13" s="29">
        <v>8032</v>
      </c>
      <c r="J13" s="29">
        <v>9321</v>
      </c>
      <c r="K13" s="29">
        <v>10328</v>
      </c>
      <c r="L13" s="29">
        <v>12972</v>
      </c>
      <c r="M13" s="30">
        <f>SUM(I13:L13)</f>
        <v>40653</v>
      </c>
      <c r="N13" s="29">
        <v>11966</v>
      </c>
      <c r="O13" s="29">
        <v>13231</v>
      </c>
      <c r="P13" s="29">
        <v>13727</v>
      </c>
      <c r="Q13" s="29">
        <v>16914</v>
      </c>
      <c r="R13" s="30">
        <f>SUM(N13:Q13)</f>
        <v>55838</v>
      </c>
      <c r="S13" s="133">
        <v>15077</v>
      </c>
      <c r="T13" s="133">
        <v>16886</v>
      </c>
      <c r="U13" s="133">
        <v>17652</v>
      </c>
      <c r="V13" s="133">
        <f>70697-U13-T13-S13</f>
        <v>21082</v>
      </c>
      <c r="W13" s="128">
        <f>SUM(S13:V13)</f>
        <v>70697</v>
      </c>
      <c r="X13" s="133">
        <v>17737</v>
      </c>
      <c r="Y13" s="133">
        <f t="shared" ref="Y13:AA13" si="0">+Y40</f>
        <v>19231.911363000003</v>
      </c>
      <c r="Z13" s="133">
        <f t="shared" si="0"/>
        <v>21620.858400553985</v>
      </c>
      <c r="AA13" s="133">
        <f t="shared" si="0"/>
        <v>25036.513852673077</v>
      </c>
      <c r="AB13" s="128">
        <f>SUM(X13:AA13)</f>
        <v>83626.283616227069</v>
      </c>
      <c r="AC13" s="133">
        <f t="shared" ref="AC13:AF13" si="1">+AC40</f>
        <v>22672.900250983701</v>
      </c>
      <c r="AD13" s="133">
        <f t="shared" si="1"/>
        <v>25504.824502596137</v>
      </c>
      <c r="AE13" s="133">
        <f t="shared" si="1"/>
        <v>29678.311033081962</v>
      </c>
      <c r="AF13" s="133">
        <f t="shared" si="1"/>
        <v>35235.333310127033</v>
      </c>
      <c r="AG13" s="128">
        <f>SUM(AC13:AF13)</f>
        <v>113091.36909678884</v>
      </c>
    </row>
    <row r="14" spans="1:61" ht="16.2" x14ac:dyDescent="0.45">
      <c r="A14" s="138"/>
      <c r="B14" s="70" t="s">
        <v>67</v>
      </c>
      <c r="C14" s="71"/>
      <c r="D14" s="34">
        <v>838</v>
      </c>
      <c r="E14" s="34">
        <v>916</v>
      </c>
      <c r="F14" s="34">
        <v>987</v>
      </c>
      <c r="G14" s="34">
        <v>1048</v>
      </c>
      <c r="H14" s="35">
        <f>SUM(D14:G14)</f>
        <v>3789</v>
      </c>
      <c r="I14" s="34">
        <v>1159</v>
      </c>
      <c r="J14" s="34">
        <v>1237</v>
      </c>
      <c r="K14" s="34">
        <v>1448</v>
      </c>
      <c r="L14" s="34">
        <v>1611</v>
      </c>
      <c r="M14" s="35">
        <f>SUM(I14:L14)</f>
        <v>5455</v>
      </c>
      <c r="N14" s="34">
        <v>1927</v>
      </c>
      <c r="O14" s="34">
        <v>2214</v>
      </c>
      <c r="P14" s="34">
        <v>2418</v>
      </c>
      <c r="Q14" s="34">
        <v>2796</v>
      </c>
      <c r="R14" s="35">
        <f>SUM(N14:Q14)</f>
        <v>9355</v>
      </c>
      <c r="S14" s="34">
        <v>2816</v>
      </c>
      <c r="T14" s="135">
        <v>3307</v>
      </c>
      <c r="U14" s="135">
        <v>3155</v>
      </c>
      <c r="V14" s="135">
        <f>12770-U14-T14-S14</f>
        <v>3492</v>
      </c>
      <c r="W14" s="129">
        <f>SUM(S14:V14)</f>
        <v>12770</v>
      </c>
      <c r="X14" s="135">
        <v>3459</v>
      </c>
      <c r="Y14" s="135">
        <f>+Y13*(1-Y69)</f>
        <v>3750.2227157849998</v>
      </c>
      <c r="Z14" s="135">
        <f>+Z13*(1-Z69)</f>
        <v>4162.0152421066423</v>
      </c>
      <c r="AA14" s="135">
        <f>+AA13*(1-AA69)</f>
        <v>4756.9376320078836</v>
      </c>
      <c r="AB14" s="129">
        <f>SUM(X14:AA14)</f>
        <v>16128.175589899525</v>
      </c>
      <c r="AC14" s="34">
        <f>+AC13*(1-AC69)</f>
        <v>4421.215548941821</v>
      </c>
      <c r="AD14" s="34">
        <f>+AD13*(1-AD69)</f>
        <v>4718.3925329802869</v>
      </c>
      <c r="AE14" s="34">
        <f>+AE13*(1-AE69)</f>
        <v>5490.4875411201647</v>
      </c>
      <c r="AF14" s="34">
        <f>+AF13*(1-AF69)</f>
        <v>6518.5366623735026</v>
      </c>
      <c r="AG14" s="129">
        <f>SUM(AC14:AF14)</f>
        <v>21148.632285415777</v>
      </c>
    </row>
    <row r="15" spans="1:61" s="21" customFormat="1" x14ac:dyDescent="0.3">
      <c r="A15" s="141"/>
      <c r="B15" s="73" t="s">
        <v>66</v>
      </c>
      <c r="C15" s="74"/>
      <c r="D15" s="40">
        <f>+D13-D14</f>
        <v>4544</v>
      </c>
      <c r="E15" s="40">
        <f t="shared" ref="E15:G15" si="2">+E13-E14</f>
        <v>5520</v>
      </c>
      <c r="F15" s="40">
        <f t="shared" si="2"/>
        <v>6024</v>
      </c>
      <c r="G15" s="40">
        <f t="shared" si="2"/>
        <v>7761</v>
      </c>
      <c r="H15" s="41">
        <f>+H13-H14</f>
        <v>23849</v>
      </c>
      <c r="I15" s="40">
        <f>+I13-I14</f>
        <v>6873</v>
      </c>
      <c r="J15" s="40">
        <f t="shared" ref="J15" si="3">+J13-J14</f>
        <v>8084</v>
      </c>
      <c r="K15" s="40">
        <f t="shared" ref="K15" si="4">+K13-K14</f>
        <v>8880</v>
      </c>
      <c r="L15" s="40">
        <f t="shared" ref="L15" si="5">+L13-L14</f>
        <v>11361</v>
      </c>
      <c r="M15" s="41">
        <f>+M13-M14</f>
        <v>35198</v>
      </c>
      <c r="N15" s="40">
        <f>+N13-N14</f>
        <v>10039</v>
      </c>
      <c r="O15" s="40">
        <f t="shared" ref="O15" si="6">+O13-O14</f>
        <v>11017</v>
      </c>
      <c r="P15" s="40">
        <f t="shared" ref="P15" si="7">+P13-P14</f>
        <v>11309</v>
      </c>
      <c r="Q15" s="40">
        <f t="shared" ref="Q15" si="8">+Q13-Q14</f>
        <v>14118</v>
      </c>
      <c r="R15" s="41">
        <f>+R13-R14</f>
        <v>46483</v>
      </c>
      <c r="S15" s="40">
        <f>+S13-S14</f>
        <v>12261</v>
      </c>
      <c r="T15" s="134">
        <f t="shared" ref="T15" si="9">+T13-T14</f>
        <v>13579</v>
      </c>
      <c r="U15" s="40">
        <f t="shared" ref="U15" si="10">+U13-U14</f>
        <v>14497</v>
      </c>
      <c r="V15" s="40">
        <f t="shared" ref="V15" si="11">+V13-V14</f>
        <v>17590</v>
      </c>
      <c r="W15" s="41">
        <f>+W13-W14</f>
        <v>57927</v>
      </c>
      <c r="X15" s="40">
        <f>+X13-X14</f>
        <v>14278</v>
      </c>
      <c r="Y15" s="40">
        <f t="shared" ref="Y15" si="12">+Y13-Y14</f>
        <v>15481.688647215004</v>
      </c>
      <c r="Z15" s="40">
        <f t="shared" ref="Z15" si="13">+Z13-Z14</f>
        <v>17458.843158447344</v>
      </c>
      <c r="AA15" s="40">
        <f t="shared" ref="AA15" si="14">+AA13-AA14</f>
        <v>20279.576220665193</v>
      </c>
      <c r="AB15" s="130">
        <f>+AB13-AB14</f>
        <v>67498.108026327536</v>
      </c>
      <c r="AC15" s="40">
        <f>+AC13-AC14</f>
        <v>18251.684702041879</v>
      </c>
      <c r="AD15" s="40">
        <f t="shared" ref="AD15" si="15">+AD13-AD14</f>
        <v>20786.431969615849</v>
      </c>
      <c r="AE15" s="40">
        <f t="shared" ref="AE15" si="16">+AE13-AE14</f>
        <v>24187.823491961797</v>
      </c>
      <c r="AF15" s="40">
        <f t="shared" ref="AF15" si="17">+AF13-AF14</f>
        <v>28716.79664775353</v>
      </c>
      <c r="AG15" s="130">
        <f>+AG13-AG14</f>
        <v>91942.736811373063</v>
      </c>
    </row>
    <row r="16" spans="1:61" x14ac:dyDescent="0.3">
      <c r="A16" s="138"/>
      <c r="B16" s="31" t="s">
        <v>21</v>
      </c>
      <c r="C16" s="71"/>
      <c r="D16" s="14"/>
      <c r="E16" s="14"/>
      <c r="F16" s="14"/>
      <c r="G16" s="14"/>
      <c r="H16" s="30"/>
      <c r="I16" s="14"/>
      <c r="J16" s="14"/>
      <c r="K16" s="14"/>
      <c r="L16" s="14"/>
      <c r="M16" s="30"/>
      <c r="N16" s="14"/>
      <c r="O16" s="14"/>
      <c r="P16" s="14"/>
      <c r="Q16" s="14"/>
      <c r="R16" s="30"/>
      <c r="S16" s="14"/>
      <c r="T16" s="154"/>
      <c r="U16" s="14"/>
      <c r="V16" s="14"/>
      <c r="W16" s="30"/>
      <c r="X16" s="14"/>
      <c r="Y16" s="14"/>
      <c r="Z16" s="14"/>
      <c r="AA16" s="14"/>
      <c r="AB16" s="128"/>
      <c r="AC16" s="14"/>
      <c r="AD16" s="14"/>
      <c r="AE16" s="14"/>
      <c r="AF16" s="14"/>
      <c r="AG16" s="128"/>
    </row>
    <row r="17" spans="1:33" x14ac:dyDescent="0.3">
      <c r="A17" s="138"/>
      <c r="B17" s="75" t="s">
        <v>68</v>
      </c>
      <c r="C17" s="32"/>
      <c r="D17" s="29">
        <v>1343</v>
      </c>
      <c r="E17" s="29">
        <v>1463</v>
      </c>
      <c r="F17" s="29">
        <v>1539</v>
      </c>
      <c r="G17" s="29">
        <f>5919-F17-E17-D17</f>
        <v>1574</v>
      </c>
      <c r="H17" s="30">
        <f t="shared" ref="H17:H19" si="18">SUM(D17:G17)</f>
        <v>5919</v>
      </c>
      <c r="I17" s="29">
        <v>1834</v>
      </c>
      <c r="J17" s="29">
        <v>1919</v>
      </c>
      <c r="K17" s="29">
        <v>2052</v>
      </c>
      <c r="L17" s="29">
        <v>1949</v>
      </c>
      <c r="M17" s="30">
        <f t="shared" ref="M17:M19" si="19">SUM(I17:L17)</f>
        <v>7754</v>
      </c>
      <c r="N17" s="29">
        <v>2238</v>
      </c>
      <c r="O17" s="29">
        <v>2523</v>
      </c>
      <c r="P17" s="29">
        <v>2657</v>
      </c>
      <c r="Q17" s="29">
        <v>2855</v>
      </c>
      <c r="R17" s="30">
        <f t="shared" ref="R17:R19" si="20">SUM(N17:Q17)</f>
        <v>10273</v>
      </c>
      <c r="S17" s="29">
        <v>2860</v>
      </c>
      <c r="T17" s="133">
        <v>3315</v>
      </c>
      <c r="U17" s="29">
        <v>3548</v>
      </c>
      <c r="V17" s="29">
        <f>13600-U17-T17-S17</f>
        <v>3877</v>
      </c>
      <c r="W17" s="30">
        <f t="shared" ref="W17:W19" si="21">SUM(S17:V17)</f>
        <v>13600</v>
      </c>
      <c r="X17" s="29">
        <v>4015</v>
      </c>
      <c r="Y17" s="29">
        <f>+Y13*Y70</f>
        <v>4615.6587271200005</v>
      </c>
      <c r="Z17" s="29">
        <f>+Z13*Z70</f>
        <v>5080.9017241301863</v>
      </c>
      <c r="AA17" s="29">
        <f>+AA13*AA70</f>
        <v>5508.0330475880774</v>
      </c>
      <c r="AB17" s="128">
        <f t="shared" ref="AB17:AB19" si="22">SUM(X17:AA17)</f>
        <v>19219.593498838265</v>
      </c>
      <c r="AC17" s="29">
        <f>+AC13*AC70</f>
        <v>5328.1315589811693</v>
      </c>
      <c r="AD17" s="29">
        <f>+AD13*AD70</f>
        <v>5611.0613905711498</v>
      </c>
      <c r="AE17" s="29">
        <f>+AE13*AE70</f>
        <v>6529.2284272780316</v>
      </c>
      <c r="AF17" s="29">
        <f>+AF13*AF70</f>
        <v>7751.7733282279469</v>
      </c>
      <c r="AG17" s="128">
        <f t="shared" ref="AG17:AG19" si="23">SUM(AC17:AF17)</f>
        <v>25220.194705058297</v>
      </c>
    </row>
    <row r="18" spans="1:33" x14ac:dyDescent="0.3">
      <c r="A18" s="138"/>
      <c r="B18" s="75" t="s">
        <v>69</v>
      </c>
      <c r="C18" s="32"/>
      <c r="D18" s="29">
        <v>826</v>
      </c>
      <c r="E18" s="29">
        <v>899</v>
      </c>
      <c r="F18" s="29">
        <v>925</v>
      </c>
      <c r="G18" s="29">
        <f>3772-F18-E18-D18</f>
        <v>1122</v>
      </c>
      <c r="H18" s="30">
        <f t="shared" si="18"/>
        <v>3772</v>
      </c>
      <c r="I18" s="29">
        <v>1057</v>
      </c>
      <c r="J18" s="29">
        <v>1124</v>
      </c>
      <c r="K18" s="29">
        <v>1170</v>
      </c>
      <c r="L18" s="29">
        <v>1374</v>
      </c>
      <c r="M18" s="30">
        <f t="shared" si="19"/>
        <v>4725</v>
      </c>
      <c r="N18" s="29">
        <v>1595</v>
      </c>
      <c r="O18" s="29">
        <v>1855</v>
      </c>
      <c r="P18" s="29">
        <v>1928</v>
      </c>
      <c r="Q18" s="29">
        <v>2467</v>
      </c>
      <c r="R18" s="30">
        <f t="shared" si="20"/>
        <v>7845</v>
      </c>
      <c r="S18" s="29">
        <v>2020</v>
      </c>
      <c r="T18" s="133">
        <v>2414</v>
      </c>
      <c r="U18" s="29">
        <v>2416</v>
      </c>
      <c r="V18" s="29">
        <f>9876-U18-T18-S18</f>
        <v>3026</v>
      </c>
      <c r="W18" s="30">
        <f t="shared" si="21"/>
        <v>9876</v>
      </c>
      <c r="X18" s="29">
        <v>2787</v>
      </c>
      <c r="Y18" s="29">
        <f>+Y13*Y71</f>
        <v>3077.1058180800005</v>
      </c>
      <c r="Z18" s="29">
        <f>+Z13*Z71</f>
        <v>3567.4416360914079</v>
      </c>
      <c r="AA18" s="29">
        <f>+AA13*AA71</f>
        <v>3755.4770779009614</v>
      </c>
      <c r="AB18" s="128">
        <f t="shared" si="22"/>
        <v>13187.02453207237</v>
      </c>
      <c r="AC18" s="29">
        <f>+AC13*AC71</f>
        <v>3718.3556411613272</v>
      </c>
      <c r="AD18" s="29">
        <f>+AD13*AD71</f>
        <v>4080.7719204153818</v>
      </c>
      <c r="AE18" s="29">
        <f>+AE13*AE71</f>
        <v>4748.529765293114</v>
      </c>
      <c r="AF18" s="29">
        <f>+AF13*AF71</f>
        <v>5637.6533296203252</v>
      </c>
      <c r="AG18" s="128">
        <f t="shared" si="23"/>
        <v>18185.310656490146</v>
      </c>
    </row>
    <row r="19" spans="1:33" ht="17.25" customHeight="1" x14ac:dyDescent="0.45">
      <c r="A19" s="138"/>
      <c r="B19" s="75" t="s">
        <v>70</v>
      </c>
      <c r="C19" s="32"/>
      <c r="D19" s="34">
        <v>366</v>
      </c>
      <c r="E19" s="34">
        <v>412</v>
      </c>
      <c r="F19" s="34">
        <v>438</v>
      </c>
      <c r="G19" s="34">
        <f>1731-F19-E19-D19</f>
        <v>515</v>
      </c>
      <c r="H19" s="35">
        <f t="shared" si="18"/>
        <v>1731</v>
      </c>
      <c r="I19" s="34">
        <v>655</v>
      </c>
      <c r="J19" s="34">
        <v>640</v>
      </c>
      <c r="K19" s="34">
        <v>536</v>
      </c>
      <c r="L19" s="34">
        <v>686</v>
      </c>
      <c r="M19" s="35">
        <f t="shared" si="19"/>
        <v>2517</v>
      </c>
      <c r="N19" s="34">
        <v>757</v>
      </c>
      <c r="O19" s="34">
        <v>776</v>
      </c>
      <c r="P19" s="34">
        <v>943</v>
      </c>
      <c r="Q19" s="34">
        <v>976</v>
      </c>
      <c r="R19" s="35">
        <f t="shared" si="20"/>
        <v>3452</v>
      </c>
      <c r="S19" s="135">
        <v>4064</v>
      </c>
      <c r="T19" s="135">
        <v>3224</v>
      </c>
      <c r="U19" s="34">
        <v>1348</v>
      </c>
      <c r="V19" s="34">
        <f>10465-U19-T19-S19</f>
        <v>1829</v>
      </c>
      <c r="W19" s="35">
        <f t="shared" si="21"/>
        <v>10465</v>
      </c>
      <c r="X19" s="34">
        <v>1583</v>
      </c>
      <c r="Y19" s="34">
        <f>Y13*Y72</f>
        <v>2115.5102499300006</v>
      </c>
      <c r="Z19" s="34">
        <f>Z13*Z72</f>
        <v>1924.2563976493045</v>
      </c>
      <c r="AA19" s="34">
        <f>AA13*AA72</f>
        <v>1977.8845943611732</v>
      </c>
      <c r="AB19" s="129">
        <f t="shared" si="22"/>
        <v>7600.651241940478</v>
      </c>
      <c r="AC19" s="34">
        <f>AC13*AC72</f>
        <v>2040.561022588533</v>
      </c>
      <c r="AD19" s="34">
        <f>AD13*AD72</f>
        <v>2040.3859602076909</v>
      </c>
      <c r="AE19" s="34">
        <f>AE13*AE72</f>
        <v>2374.264882646557</v>
      </c>
      <c r="AF19" s="34">
        <f>AF13*AF72</f>
        <v>2607.4146649494005</v>
      </c>
      <c r="AG19" s="129">
        <f t="shared" si="23"/>
        <v>9062.6265303921828</v>
      </c>
    </row>
    <row r="20" spans="1:33" s="39" customFormat="1" ht="17.25" customHeight="1" x14ac:dyDescent="0.45">
      <c r="A20" s="163"/>
      <c r="B20" s="90" t="s">
        <v>11</v>
      </c>
      <c r="C20" s="36"/>
      <c r="D20" s="37">
        <f t="shared" ref="D20:AG20" si="24">SUM(D17:D19)</f>
        <v>2535</v>
      </c>
      <c r="E20" s="37">
        <f t="shared" si="24"/>
        <v>2774</v>
      </c>
      <c r="F20" s="37">
        <f t="shared" si="24"/>
        <v>2902</v>
      </c>
      <c r="G20" s="37">
        <f t="shared" si="24"/>
        <v>3211</v>
      </c>
      <c r="H20" s="38">
        <f t="shared" si="24"/>
        <v>11422</v>
      </c>
      <c r="I20" s="37">
        <f t="shared" si="24"/>
        <v>3546</v>
      </c>
      <c r="J20" s="37">
        <f t="shared" si="24"/>
        <v>3683</v>
      </c>
      <c r="K20" s="37">
        <f t="shared" si="24"/>
        <v>3758</v>
      </c>
      <c r="L20" s="37">
        <f t="shared" si="24"/>
        <v>4009</v>
      </c>
      <c r="M20" s="38">
        <f t="shared" si="24"/>
        <v>14996</v>
      </c>
      <c r="N20" s="37">
        <f t="shared" si="24"/>
        <v>4590</v>
      </c>
      <c r="O20" s="37">
        <f t="shared" si="24"/>
        <v>5154</v>
      </c>
      <c r="P20" s="37">
        <f t="shared" si="24"/>
        <v>5528</v>
      </c>
      <c r="Q20" s="37">
        <f t="shared" si="24"/>
        <v>6298</v>
      </c>
      <c r="R20" s="38">
        <f t="shared" si="24"/>
        <v>21570</v>
      </c>
      <c r="S20" s="37">
        <f t="shared" si="24"/>
        <v>8944</v>
      </c>
      <c r="T20" s="155">
        <f t="shared" si="24"/>
        <v>8953</v>
      </c>
      <c r="U20" s="37">
        <f t="shared" si="24"/>
        <v>7312</v>
      </c>
      <c r="V20" s="37">
        <f t="shared" si="24"/>
        <v>8732</v>
      </c>
      <c r="W20" s="38">
        <f t="shared" si="24"/>
        <v>33941</v>
      </c>
      <c r="X20" s="37">
        <f t="shared" si="24"/>
        <v>8385</v>
      </c>
      <c r="Y20" s="37">
        <f t="shared" si="24"/>
        <v>9808.2747951300025</v>
      </c>
      <c r="Z20" s="37">
        <f t="shared" si="24"/>
        <v>10572.599757870898</v>
      </c>
      <c r="AA20" s="37">
        <f t="shared" si="24"/>
        <v>11241.394719850214</v>
      </c>
      <c r="AB20" s="131">
        <f t="shared" si="24"/>
        <v>40007.26927285111</v>
      </c>
      <c r="AC20" s="37">
        <f t="shared" si="24"/>
        <v>11087.048222731028</v>
      </c>
      <c r="AD20" s="37">
        <f t="shared" si="24"/>
        <v>11732.219271194223</v>
      </c>
      <c r="AE20" s="37">
        <f t="shared" si="24"/>
        <v>13652.023075217703</v>
      </c>
      <c r="AF20" s="37">
        <f t="shared" si="24"/>
        <v>15996.841322797671</v>
      </c>
      <c r="AG20" s="131">
        <f t="shared" si="24"/>
        <v>52468.131891940626</v>
      </c>
    </row>
    <row r="21" spans="1:33" x14ac:dyDescent="0.3">
      <c r="A21" s="138"/>
      <c r="B21" s="90" t="s">
        <v>22</v>
      </c>
      <c r="C21" s="33"/>
      <c r="D21" s="40">
        <f>D15-D20</f>
        <v>2009</v>
      </c>
      <c r="E21" s="40">
        <f t="shared" ref="E21:F21" si="25">E15-E20</f>
        <v>2746</v>
      </c>
      <c r="F21" s="40">
        <f t="shared" si="25"/>
        <v>3122</v>
      </c>
      <c r="G21" s="40">
        <f>G15-G20</f>
        <v>4550</v>
      </c>
      <c r="H21" s="41">
        <f>H15-H20</f>
        <v>12427</v>
      </c>
      <c r="I21" s="40">
        <f>I15-I20</f>
        <v>3327</v>
      </c>
      <c r="J21" s="40">
        <f t="shared" ref="J21" si="26">J15-J20</f>
        <v>4401</v>
      </c>
      <c r="K21" s="40">
        <f t="shared" ref="K21" si="27">K15-K20</f>
        <v>5122</v>
      </c>
      <c r="L21" s="40">
        <f>L15-L20</f>
        <v>7352</v>
      </c>
      <c r="M21" s="41">
        <f>M15-M20</f>
        <v>20202</v>
      </c>
      <c r="N21" s="40">
        <f>N15-N20</f>
        <v>5449</v>
      </c>
      <c r="O21" s="40">
        <f t="shared" ref="O21" si="28">O15-O20</f>
        <v>5863</v>
      </c>
      <c r="P21" s="40">
        <f t="shared" ref="P21" si="29">P15-P20</f>
        <v>5781</v>
      </c>
      <c r="Q21" s="40">
        <f>Q15-Q20</f>
        <v>7820</v>
      </c>
      <c r="R21" s="41">
        <f>R15-R20</f>
        <v>24913</v>
      </c>
      <c r="S21" s="134">
        <f>S15-S20</f>
        <v>3317</v>
      </c>
      <c r="T21" s="134">
        <f t="shared" ref="T21" si="30">T15-T20</f>
        <v>4626</v>
      </c>
      <c r="U21" s="134">
        <f t="shared" ref="U21" si="31">U15-U20</f>
        <v>7185</v>
      </c>
      <c r="V21" s="134">
        <f>V15-V20</f>
        <v>8858</v>
      </c>
      <c r="W21" s="41">
        <f>W15-W20</f>
        <v>23986</v>
      </c>
      <c r="X21" s="40">
        <f>X15-X20</f>
        <v>5893</v>
      </c>
      <c r="Y21" s="40">
        <f t="shared" ref="Y21" si="32">Y15-Y20</f>
        <v>5673.4138520850011</v>
      </c>
      <c r="Z21" s="40">
        <f t="shared" ref="Z21" si="33">Z15-Z20</f>
        <v>6886.2434005764462</v>
      </c>
      <c r="AA21" s="40">
        <f>AA15-AA20</f>
        <v>9038.1815008149788</v>
      </c>
      <c r="AB21" s="130">
        <f>AB15-AB20</f>
        <v>27490.838753476426</v>
      </c>
      <c r="AC21" s="40">
        <f>AC15-AC20</f>
        <v>7164.6364793108514</v>
      </c>
      <c r="AD21" s="40">
        <f t="shared" ref="AD21" si="34">AD15-AD20</f>
        <v>9054.2126984216266</v>
      </c>
      <c r="AE21" s="40">
        <f t="shared" ref="AE21" si="35">AE15-AE20</f>
        <v>10535.800416744094</v>
      </c>
      <c r="AF21" s="40">
        <f>AF15-AF20</f>
        <v>12719.955324955859</v>
      </c>
      <c r="AG21" s="130">
        <f>AG15-AG20</f>
        <v>39474.604919432437</v>
      </c>
    </row>
    <row r="22" spans="1:33" ht="16.2" x14ac:dyDescent="0.45">
      <c r="A22" s="138"/>
      <c r="B22" s="70" t="s">
        <v>71</v>
      </c>
      <c r="C22" s="69"/>
      <c r="D22" s="34">
        <v>56</v>
      </c>
      <c r="E22" s="34">
        <v>20</v>
      </c>
      <c r="F22" s="34">
        <v>47</v>
      </c>
      <c r="G22" s="34">
        <v>-32</v>
      </c>
      <c r="H22" s="35">
        <f t="shared" ref="H22" si="36">SUM(D22:G22)</f>
        <v>91</v>
      </c>
      <c r="I22" s="34">
        <v>81</v>
      </c>
      <c r="J22" s="34">
        <v>87</v>
      </c>
      <c r="K22" s="34">
        <v>114</v>
      </c>
      <c r="L22" s="34">
        <v>110</v>
      </c>
      <c r="M22" s="35">
        <f t="shared" ref="M22" si="37">SUM(I22:L22)</f>
        <v>392</v>
      </c>
      <c r="N22" s="34">
        <v>161</v>
      </c>
      <c r="O22" s="34">
        <v>5</v>
      </c>
      <c r="P22" s="34">
        <v>131</v>
      </c>
      <c r="Q22" s="34">
        <v>151</v>
      </c>
      <c r="R22" s="35">
        <f t="shared" ref="R22" si="38">SUM(N22:Q22)</f>
        <v>448</v>
      </c>
      <c r="S22" s="135">
        <v>165</v>
      </c>
      <c r="T22" s="135">
        <v>206</v>
      </c>
      <c r="U22" s="135">
        <v>144</v>
      </c>
      <c r="V22" s="135">
        <f>826-U22-T22-S22</f>
        <v>311</v>
      </c>
      <c r="W22" s="35">
        <f t="shared" ref="W22" si="39">SUM(S22:V22)</f>
        <v>826</v>
      </c>
      <c r="X22" s="135">
        <v>-32</v>
      </c>
      <c r="Y22" s="57">
        <f>AVERAGE(X22,V22,U22,T22)</f>
        <v>157.25</v>
      </c>
      <c r="Z22" s="57">
        <f>AVERAGE(Y22,X22,V22,U22)</f>
        <v>145.0625</v>
      </c>
      <c r="AA22" s="57">
        <f>AVERAGE(Z22,Y22,X22,V22)</f>
        <v>145.328125</v>
      </c>
      <c r="AB22" s="129">
        <f t="shared" ref="AB22" si="40">SUM(X22:AA22)</f>
        <v>415.640625</v>
      </c>
      <c r="AC22" s="57">
        <f>AVERAGE(AA22,Z22,Y22,X22)</f>
        <v>103.91015625</v>
      </c>
      <c r="AD22" s="57">
        <f>AVERAGE(AC22,AA22,Z22,Y22)</f>
        <v>137.8876953125</v>
      </c>
      <c r="AE22" s="57">
        <f>AVERAGE(AD22,AC22,AA22,Z22)</f>
        <v>133.047119140625</v>
      </c>
      <c r="AF22" s="57">
        <f>AVERAGE(AE22,AD22,AC22,AA22)</f>
        <v>130.04327392578125</v>
      </c>
      <c r="AG22" s="129">
        <f t="shared" ref="AG22" si="41">SUM(AC22:AF22)</f>
        <v>504.88824462890625</v>
      </c>
    </row>
    <row r="23" spans="1:33" x14ac:dyDescent="0.3">
      <c r="A23" s="138"/>
      <c r="B23" s="201" t="s">
        <v>23</v>
      </c>
      <c r="C23" s="202"/>
      <c r="D23" s="40">
        <f t="shared" ref="D23:AG23" si="42">D21+D22</f>
        <v>2065</v>
      </c>
      <c r="E23" s="40">
        <f t="shared" si="42"/>
        <v>2766</v>
      </c>
      <c r="F23" s="40">
        <f t="shared" si="42"/>
        <v>3169</v>
      </c>
      <c r="G23" s="40">
        <f t="shared" si="42"/>
        <v>4518</v>
      </c>
      <c r="H23" s="41">
        <f t="shared" si="42"/>
        <v>12518</v>
      </c>
      <c r="I23" s="40">
        <f t="shared" si="42"/>
        <v>3408</v>
      </c>
      <c r="J23" s="40">
        <f t="shared" si="42"/>
        <v>4488</v>
      </c>
      <c r="K23" s="40">
        <f t="shared" si="42"/>
        <v>5236</v>
      </c>
      <c r="L23" s="40">
        <f t="shared" si="42"/>
        <v>7462</v>
      </c>
      <c r="M23" s="41">
        <f t="shared" si="42"/>
        <v>20594</v>
      </c>
      <c r="N23" s="40">
        <f t="shared" si="42"/>
        <v>5610</v>
      </c>
      <c r="O23" s="40">
        <f t="shared" si="42"/>
        <v>5868</v>
      </c>
      <c r="P23" s="40">
        <f t="shared" si="42"/>
        <v>5912</v>
      </c>
      <c r="Q23" s="40">
        <f t="shared" si="42"/>
        <v>7971</v>
      </c>
      <c r="R23" s="41">
        <f t="shared" si="42"/>
        <v>25361</v>
      </c>
      <c r="S23" s="134">
        <f t="shared" si="42"/>
        <v>3482</v>
      </c>
      <c r="T23" s="134">
        <f t="shared" si="42"/>
        <v>4832</v>
      </c>
      <c r="U23" s="40">
        <f t="shared" si="42"/>
        <v>7329</v>
      </c>
      <c r="V23" s="40">
        <f>V21+V22</f>
        <v>9169</v>
      </c>
      <c r="W23" s="41">
        <f t="shared" si="42"/>
        <v>24812</v>
      </c>
      <c r="X23" s="134">
        <f t="shared" si="42"/>
        <v>5861</v>
      </c>
      <c r="Y23" s="40">
        <f t="shared" si="42"/>
        <v>5830.6638520850011</v>
      </c>
      <c r="Z23" s="40">
        <f t="shared" si="42"/>
        <v>7031.3059005764462</v>
      </c>
      <c r="AA23" s="40">
        <f t="shared" si="42"/>
        <v>9183.5096258149788</v>
      </c>
      <c r="AB23" s="130">
        <f t="shared" si="42"/>
        <v>27906.479378476426</v>
      </c>
      <c r="AC23" s="40">
        <f t="shared" si="42"/>
        <v>7268.5466355608514</v>
      </c>
      <c r="AD23" s="40">
        <f t="shared" si="42"/>
        <v>9192.1003937341266</v>
      </c>
      <c r="AE23" s="40">
        <f t="shared" si="42"/>
        <v>10668.847535884719</v>
      </c>
      <c r="AF23" s="40">
        <f t="shared" si="42"/>
        <v>12849.998598881641</v>
      </c>
      <c r="AG23" s="130">
        <f t="shared" si="42"/>
        <v>39979.493164061343</v>
      </c>
    </row>
    <row r="24" spans="1:33" ht="16.2" x14ac:dyDescent="0.45">
      <c r="A24" s="138"/>
      <c r="B24" s="199" t="s">
        <v>7</v>
      </c>
      <c r="C24" s="200"/>
      <c r="D24" s="34">
        <v>-555</v>
      </c>
      <c r="E24" s="34">
        <v>-711</v>
      </c>
      <c r="F24" s="34">
        <v>-790</v>
      </c>
      <c r="G24" s="34">
        <f>-2301-F24-E24-D24</f>
        <v>-245</v>
      </c>
      <c r="H24" s="35">
        <f>SUM(D24:G24)</f>
        <v>-2301</v>
      </c>
      <c r="I24" s="34">
        <v>-344</v>
      </c>
      <c r="J24" s="34">
        <v>-594</v>
      </c>
      <c r="K24" s="34">
        <v>-529</v>
      </c>
      <c r="L24" s="34">
        <v>-3194</v>
      </c>
      <c r="M24" s="35">
        <f>SUM(I24:L24)</f>
        <v>-4661</v>
      </c>
      <c r="N24" s="34">
        <v>-622</v>
      </c>
      <c r="O24" s="34">
        <v>-762</v>
      </c>
      <c r="P24" s="34">
        <v>-775</v>
      </c>
      <c r="Q24" s="34">
        <v>-1089</v>
      </c>
      <c r="R24" s="35">
        <f>SUM(N24:Q24)</f>
        <v>-3248</v>
      </c>
      <c r="S24" s="135">
        <v>-1053</v>
      </c>
      <c r="T24" s="135">
        <v>-2216</v>
      </c>
      <c r="U24" s="34">
        <v>-1238</v>
      </c>
      <c r="V24" s="34">
        <f>-6327-U24-T24-S24</f>
        <v>-1820</v>
      </c>
      <c r="W24" s="35">
        <f>SUM(S24:V24)</f>
        <v>-6327</v>
      </c>
      <c r="X24" s="135">
        <v>-959</v>
      </c>
      <c r="Y24" s="34">
        <f>+Y23*-Y76</f>
        <v>-1049.5194933753</v>
      </c>
      <c r="Z24" s="34">
        <f>+Z23*-Z76</f>
        <v>-1265.6350621037602</v>
      </c>
      <c r="AA24" s="34">
        <f>+AA23*-AA76</f>
        <v>-1653.0317326466961</v>
      </c>
      <c r="AB24" s="129">
        <f>SUM(X24:AA24)</f>
        <v>-4927.1862881257566</v>
      </c>
      <c r="AC24" s="34">
        <f>+AC23*-AC76</f>
        <v>-1278.5808826247576</v>
      </c>
      <c r="AD24" s="34">
        <f>+AD23*-AD76</f>
        <v>-1667.8543840431055</v>
      </c>
      <c r="AE24" s="34">
        <f>+AE23*-AE76</f>
        <v>-1939.654062942062</v>
      </c>
      <c r="AF24" s="34">
        <f>+AF23*-AF76</f>
        <v>-2341.9989356777032</v>
      </c>
      <c r="AG24" s="129">
        <f>SUM(AC24:AF24)</f>
        <v>-7228.0882652876289</v>
      </c>
    </row>
    <row r="25" spans="1:33" x14ac:dyDescent="0.3">
      <c r="A25" s="145"/>
      <c r="B25" s="201" t="s">
        <v>8</v>
      </c>
      <c r="C25" s="202"/>
      <c r="D25" s="40">
        <f t="shared" ref="D25:AG25" si="43">+D23+D24</f>
        <v>1510</v>
      </c>
      <c r="E25" s="40">
        <f t="shared" si="43"/>
        <v>2055</v>
      </c>
      <c r="F25" s="40">
        <f t="shared" si="43"/>
        <v>2379</v>
      </c>
      <c r="G25" s="40">
        <f t="shared" si="43"/>
        <v>4273</v>
      </c>
      <c r="H25" s="41">
        <f t="shared" si="43"/>
        <v>10217</v>
      </c>
      <c r="I25" s="40">
        <f t="shared" si="43"/>
        <v>3064</v>
      </c>
      <c r="J25" s="40">
        <f t="shared" si="43"/>
        <v>3894</v>
      </c>
      <c r="K25" s="40">
        <f t="shared" si="43"/>
        <v>4707</v>
      </c>
      <c r="L25" s="40">
        <f t="shared" si="43"/>
        <v>4268</v>
      </c>
      <c r="M25" s="41">
        <f t="shared" si="43"/>
        <v>15933</v>
      </c>
      <c r="N25" s="40">
        <f t="shared" si="43"/>
        <v>4988</v>
      </c>
      <c r="O25" s="40">
        <f t="shared" si="43"/>
        <v>5106</v>
      </c>
      <c r="P25" s="40">
        <f t="shared" si="43"/>
        <v>5137</v>
      </c>
      <c r="Q25" s="40">
        <f t="shared" si="43"/>
        <v>6882</v>
      </c>
      <c r="R25" s="41">
        <f t="shared" si="43"/>
        <v>22113</v>
      </c>
      <c r="S25" s="134">
        <f t="shared" si="43"/>
        <v>2429</v>
      </c>
      <c r="T25" s="134">
        <f t="shared" si="43"/>
        <v>2616</v>
      </c>
      <c r="U25" s="40">
        <f t="shared" si="43"/>
        <v>6091</v>
      </c>
      <c r="V25" s="40">
        <f t="shared" si="43"/>
        <v>7349</v>
      </c>
      <c r="W25" s="41">
        <f t="shared" si="43"/>
        <v>18485</v>
      </c>
      <c r="X25" s="134">
        <f t="shared" si="43"/>
        <v>4902</v>
      </c>
      <c r="Y25" s="40">
        <f t="shared" si="43"/>
        <v>4781.144358709701</v>
      </c>
      <c r="Z25" s="40">
        <f t="shared" si="43"/>
        <v>5765.6708384726862</v>
      </c>
      <c r="AA25" s="40">
        <f t="shared" si="43"/>
        <v>7530.4778931682831</v>
      </c>
      <c r="AB25" s="130">
        <f t="shared" si="43"/>
        <v>22979.293090350671</v>
      </c>
      <c r="AC25" s="40">
        <f t="shared" si="43"/>
        <v>5989.9657529360938</v>
      </c>
      <c r="AD25" s="40">
        <f t="shared" si="43"/>
        <v>7524.2460096910208</v>
      </c>
      <c r="AE25" s="40">
        <f t="shared" si="43"/>
        <v>8729.1934729426575</v>
      </c>
      <c r="AF25" s="40">
        <f t="shared" si="43"/>
        <v>10507.999663203937</v>
      </c>
      <c r="AG25" s="130">
        <f t="shared" si="43"/>
        <v>32751.404898773715</v>
      </c>
    </row>
    <row r="26" spans="1:33" ht="16.2" x14ac:dyDescent="0.45">
      <c r="A26" s="145"/>
      <c r="B26" s="47" t="s">
        <v>72</v>
      </c>
      <c r="C26" s="71"/>
      <c r="D26" s="34">
        <v>5</v>
      </c>
      <c r="E26" s="34">
        <v>7</v>
      </c>
      <c r="F26" s="34">
        <v>6</v>
      </c>
      <c r="G26" s="34">
        <v>7</v>
      </c>
      <c r="H26" s="35">
        <f>SUM(D26:G26)</f>
        <v>25</v>
      </c>
      <c r="I26" s="34">
        <v>5</v>
      </c>
      <c r="J26" s="34">
        <v>4</v>
      </c>
      <c r="K26" s="34">
        <v>3</v>
      </c>
      <c r="L26" s="34">
        <v>2</v>
      </c>
      <c r="M26" s="35">
        <f>SUM(I26:L26)</f>
        <v>14</v>
      </c>
      <c r="N26" s="34">
        <v>1</v>
      </c>
      <c r="O26" s="34">
        <v>0</v>
      </c>
      <c r="P26" s="34">
        <v>0</v>
      </c>
      <c r="Q26" s="34">
        <v>0</v>
      </c>
      <c r="R26" s="35">
        <f>SUM(N26:Q26)</f>
        <v>1</v>
      </c>
      <c r="S26" s="135">
        <v>0</v>
      </c>
      <c r="T26" s="135">
        <v>0</v>
      </c>
      <c r="U26" s="135">
        <v>0</v>
      </c>
      <c r="V26" s="135">
        <f>0-U26-T26-S26</f>
        <v>0</v>
      </c>
      <c r="W26" s="35">
        <f>SUM(S26:V26)</f>
        <v>0</v>
      </c>
      <c r="X26" s="135">
        <v>0</v>
      </c>
      <c r="Y26" s="135">
        <v>0</v>
      </c>
      <c r="Z26" s="135">
        <v>0</v>
      </c>
      <c r="AA26" s="135">
        <v>0</v>
      </c>
      <c r="AB26" s="129">
        <f>SUM(X26:AA26)</f>
        <v>0</v>
      </c>
      <c r="AC26" s="135">
        <v>0</v>
      </c>
      <c r="AD26" s="135">
        <v>0</v>
      </c>
      <c r="AE26" s="135">
        <v>0</v>
      </c>
      <c r="AF26" s="135">
        <v>0</v>
      </c>
      <c r="AG26" s="129">
        <f>SUM(AC26:AF26)</f>
        <v>0</v>
      </c>
    </row>
    <row r="27" spans="1:33" s="21" customFormat="1" x14ac:dyDescent="0.3">
      <c r="A27" s="163"/>
      <c r="B27" s="78" t="s">
        <v>73</v>
      </c>
      <c r="C27" s="74"/>
      <c r="D27" s="40">
        <f>+D25-D26</f>
        <v>1505</v>
      </c>
      <c r="E27" s="40">
        <f t="shared" ref="E27:G27" si="44">+E25-E26</f>
        <v>2048</v>
      </c>
      <c r="F27" s="40">
        <f t="shared" si="44"/>
        <v>2373</v>
      </c>
      <c r="G27" s="40">
        <f t="shared" si="44"/>
        <v>4266</v>
      </c>
      <c r="H27" s="41">
        <f>+H25-H26</f>
        <v>10192</v>
      </c>
      <c r="I27" s="40">
        <f t="shared" ref="I27:M27" si="45">+I25-I26</f>
        <v>3059</v>
      </c>
      <c r="J27" s="40">
        <f t="shared" si="45"/>
        <v>3890</v>
      </c>
      <c r="K27" s="40">
        <f t="shared" si="45"/>
        <v>4704</v>
      </c>
      <c r="L27" s="40">
        <f t="shared" si="45"/>
        <v>4266</v>
      </c>
      <c r="M27" s="41">
        <f t="shared" si="45"/>
        <v>15919</v>
      </c>
      <c r="N27" s="40">
        <f t="shared" ref="N27" si="46">+N25-N26</f>
        <v>4987</v>
      </c>
      <c r="O27" s="40">
        <f t="shared" ref="O27" si="47">+O25-O26</f>
        <v>5106</v>
      </c>
      <c r="P27" s="40">
        <f t="shared" ref="P27" si="48">+P25-P26</f>
        <v>5137</v>
      </c>
      <c r="Q27" s="40">
        <f t="shared" ref="Q27" si="49">+Q25-Q26</f>
        <v>6882</v>
      </c>
      <c r="R27" s="41">
        <f t="shared" ref="R27" si="50">+R25-R26</f>
        <v>22112</v>
      </c>
      <c r="S27" s="134">
        <f t="shared" ref="S27" si="51">+S25-S26</f>
        <v>2429</v>
      </c>
      <c r="T27" s="134">
        <f t="shared" ref="T27" si="52">+T25-T26</f>
        <v>2616</v>
      </c>
      <c r="U27" s="40">
        <f t="shared" ref="U27" si="53">+U25-U26</f>
        <v>6091</v>
      </c>
      <c r="V27" s="40">
        <f t="shared" ref="V27" si="54">+V25-V26</f>
        <v>7349</v>
      </c>
      <c r="W27" s="41">
        <f t="shared" ref="W27" si="55">+W25-W26</f>
        <v>18485</v>
      </c>
      <c r="X27" s="40">
        <f t="shared" ref="X27" si="56">+X25-X26</f>
        <v>4902</v>
      </c>
      <c r="Y27" s="40">
        <f t="shared" ref="Y27" si="57">+Y25-Y26</f>
        <v>4781.144358709701</v>
      </c>
      <c r="Z27" s="40">
        <f t="shared" ref="Z27" si="58">+Z25-Z26</f>
        <v>5765.6708384726862</v>
      </c>
      <c r="AA27" s="40">
        <f t="shared" ref="AA27" si="59">+AA25-AA26</f>
        <v>7530.4778931682831</v>
      </c>
      <c r="AB27" s="130">
        <f t="shared" ref="AB27" si="60">+AB25-AB26</f>
        <v>22979.293090350671</v>
      </c>
      <c r="AC27" s="40">
        <f t="shared" ref="AC27" si="61">+AC25-AC26</f>
        <v>5989.9657529360938</v>
      </c>
      <c r="AD27" s="40">
        <f t="shared" ref="AD27" si="62">+AD25-AD26</f>
        <v>7524.2460096910208</v>
      </c>
      <c r="AE27" s="40">
        <f t="shared" ref="AE27" si="63">+AE25-AE26</f>
        <v>8729.1934729426575</v>
      </c>
      <c r="AF27" s="40">
        <f t="shared" ref="AF27" si="64">+AF25-AF26</f>
        <v>10507.999663203937</v>
      </c>
      <c r="AG27" s="130">
        <f t="shared" ref="AG27" si="65">+AG25-AG26</f>
        <v>32751.404898773715</v>
      </c>
    </row>
    <row r="28" spans="1:33" x14ac:dyDescent="0.3">
      <c r="A28" s="138"/>
      <c r="B28" s="199" t="s">
        <v>0</v>
      </c>
      <c r="C28" s="200"/>
      <c r="D28" s="29">
        <v>2843</v>
      </c>
      <c r="E28" s="29">
        <v>2856</v>
      </c>
      <c r="F28" s="29">
        <v>2871</v>
      </c>
      <c r="G28" s="29">
        <v>2882</v>
      </c>
      <c r="H28" s="30">
        <v>2863.4998999999998</v>
      </c>
      <c r="I28" s="29">
        <v>2891</v>
      </c>
      <c r="J28" s="29">
        <v>2900</v>
      </c>
      <c r="K28" s="29">
        <v>2904</v>
      </c>
      <c r="L28" s="29">
        <v>2907</v>
      </c>
      <c r="M28" s="30">
        <v>2901</v>
      </c>
      <c r="N28" s="29">
        <v>2906</v>
      </c>
      <c r="O28" s="29">
        <v>2895</v>
      </c>
      <c r="P28" s="29">
        <v>2885</v>
      </c>
      <c r="Q28" s="29">
        <v>2872</v>
      </c>
      <c r="R28" s="30">
        <v>2890</v>
      </c>
      <c r="S28" s="133">
        <v>2856</v>
      </c>
      <c r="T28" s="133">
        <v>2855</v>
      </c>
      <c r="U28" s="29">
        <v>2854</v>
      </c>
      <c r="V28" s="29">
        <v>2854</v>
      </c>
      <c r="W28" s="30">
        <f>(S28*S25/W25)+(T28*T25/W25)+(U28*U25/W25)+(V28*V25/W25)</f>
        <v>2854.4043278333784</v>
      </c>
      <c r="X28" s="29">
        <v>2851</v>
      </c>
      <c r="Y28" s="29">
        <f>X28*(1+Y78)-Y82</f>
        <v>2850.8148076129528</v>
      </c>
      <c r="Z28" s="29">
        <f>Y28*(1+Z78)-Z82</f>
        <v>2850.5184451521982</v>
      </c>
      <c r="AA28" s="29">
        <f>Z28*(1+AA78)-AA82</f>
        <v>2850.1350282464546</v>
      </c>
      <c r="AB28" s="128">
        <f>(X28*X25/AB25)+(Y28*Y25/AB25)+(Z28*Z25/AB25)+(AA28*AA25/AB25)</f>
        <v>2850.5571852925159</v>
      </c>
      <c r="AC28" s="29">
        <f>AA28*(1+AC78)-AC82</f>
        <v>2849.3922774117996</v>
      </c>
      <c r="AD28" s="29">
        <f>AC28*(1+AD78)-AD82</f>
        <v>2848.9882114477409</v>
      </c>
      <c r="AE28" s="29">
        <f>AD28*(1+AE78)-AE82</f>
        <v>2848.5294457688351</v>
      </c>
      <c r="AF28" s="29">
        <f>AE28*(1+AF78)-AF82</f>
        <v>2848.0301025614267</v>
      </c>
      <c r="AG28" s="128">
        <f>(AC28*AC25/AG25)+(AD28*AD25/AG25)+(AE28*AE25/AG25)+(AF28*AF25/AG25)</f>
        <v>2848.6324367573416</v>
      </c>
    </row>
    <row r="29" spans="1:33" ht="15.75" customHeight="1" x14ac:dyDescent="0.3">
      <c r="A29" s="138"/>
      <c r="B29" s="199" t="s">
        <v>1</v>
      </c>
      <c r="C29" s="200"/>
      <c r="D29" s="29">
        <v>2888</v>
      </c>
      <c r="E29" s="29">
        <v>2904</v>
      </c>
      <c r="F29" s="29">
        <v>2915</v>
      </c>
      <c r="G29" s="29">
        <v>2938</v>
      </c>
      <c r="H29" s="30">
        <v>2925</v>
      </c>
      <c r="I29" s="29">
        <v>2944</v>
      </c>
      <c r="J29" s="29">
        <v>2951</v>
      </c>
      <c r="K29" s="29">
        <v>2956</v>
      </c>
      <c r="L29" s="29">
        <v>2954</v>
      </c>
      <c r="M29" s="30">
        <v>2956</v>
      </c>
      <c r="N29" s="29">
        <v>2945</v>
      </c>
      <c r="O29" s="29">
        <v>2930</v>
      </c>
      <c r="P29" s="29">
        <v>2913</v>
      </c>
      <c r="Q29" s="29">
        <v>2886</v>
      </c>
      <c r="R29" s="30">
        <v>2921</v>
      </c>
      <c r="S29" s="133">
        <v>2869</v>
      </c>
      <c r="T29" s="133">
        <v>2875</v>
      </c>
      <c r="U29" s="29">
        <v>2874</v>
      </c>
      <c r="V29" s="29">
        <v>2880</v>
      </c>
      <c r="W29" s="30">
        <f>(S29*S25/W25)+(T29*T25/W25)+(U29*U25/W25)+(V29*V25/W25)</f>
        <v>2875.8698945090614</v>
      </c>
      <c r="X29" s="29">
        <v>2868</v>
      </c>
      <c r="Y29" s="29">
        <f>X29*(1+Y79)-Y82</f>
        <v>2868.8166302079394</v>
      </c>
      <c r="Z29" s="29">
        <f>Y29*(1+Z79)-Z82</f>
        <v>2868.0229640510829</v>
      </c>
      <c r="AA29" s="29">
        <f>Z29*(1+AA79)-AA82</f>
        <v>2867.0180881900242</v>
      </c>
      <c r="AB29" s="128">
        <f>(X29*X25/AB25)+(Y29*Y25/AB25)+(Z29*Z25/AB25)+(AA29*AA25/AB25)</f>
        <v>2867.8538930204095</v>
      </c>
      <c r="AC29" s="29">
        <f>AA29*(1+AC79)-AC82</f>
        <v>2864.0028809299311</v>
      </c>
      <c r="AD29" s="29">
        <f>AC29*(1+AD79)-AD82</f>
        <v>2862.9974369475908</v>
      </c>
      <c r="AE29" s="29">
        <f>AD29*(1+AE79)-AE82</f>
        <v>2861.5372180930599</v>
      </c>
      <c r="AF29" s="29">
        <f>AE29*(1+AF79)-AF82</f>
        <v>2859.9107556607837</v>
      </c>
      <c r="AG29" s="128">
        <f>(AC29*AC25/AG25)+(AD29*AD25/AG25)+(AE29*AE25/AG25)+(AF29*AF25/AG25)</f>
        <v>2861.8017995721389</v>
      </c>
    </row>
    <row r="30" spans="1:33" ht="15.75" customHeight="1" x14ac:dyDescent="0.3">
      <c r="A30" s="138"/>
      <c r="B30" s="205" t="s">
        <v>9</v>
      </c>
      <c r="C30" s="206"/>
      <c r="D30" s="43">
        <f t="shared" ref="D30:AG30" si="66">D25/D28</f>
        <v>0.53112908899050304</v>
      </c>
      <c r="E30" s="43">
        <f t="shared" si="66"/>
        <v>0.71953781512605042</v>
      </c>
      <c r="F30" s="43">
        <f t="shared" si="66"/>
        <v>0.82863113897596652</v>
      </c>
      <c r="G30" s="43">
        <f t="shared" si="66"/>
        <v>1.4826509368494101</v>
      </c>
      <c r="H30" s="44">
        <f t="shared" si="66"/>
        <v>3.5680112997384774</v>
      </c>
      <c r="I30" s="43">
        <f t="shared" si="66"/>
        <v>1.0598408855067452</v>
      </c>
      <c r="J30" s="43">
        <f t="shared" si="66"/>
        <v>1.3427586206896551</v>
      </c>
      <c r="K30" s="43">
        <f t="shared" si="66"/>
        <v>1.6208677685950412</v>
      </c>
      <c r="L30" s="43">
        <f t="shared" si="66"/>
        <v>1.4681802545579636</v>
      </c>
      <c r="M30" s="44">
        <f t="shared" si="66"/>
        <v>5.4922440537745603</v>
      </c>
      <c r="N30" s="43">
        <f t="shared" si="66"/>
        <v>1.7164487267721955</v>
      </c>
      <c r="O30" s="43">
        <f t="shared" si="66"/>
        <v>1.7637305699481864</v>
      </c>
      <c r="P30" s="43">
        <f t="shared" si="66"/>
        <v>1.7805892547660311</v>
      </c>
      <c r="Q30" s="43">
        <f t="shared" si="66"/>
        <v>2.3962395543175488</v>
      </c>
      <c r="R30" s="44">
        <f t="shared" si="66"/>
        <v>7.6515570934256054</v>
      </c>
      <c r="S30" s="136">
        <f t="shared" si="66"/>
        <v>0.85049019607843135</v>
      </c>
      <c r="T30" s="136">
        <f t="shared" si="66"/>
        <v>0.91628721541155866</v>
      </c>
      <c r="U30" s="43">
        <f t="shared" si="66"/>
        <v>2.1341976173791171</v>
      </c>
      <c r="V30" s="43">
        <f t="shared" si="66"/>
        <v>2.5749824807288015</v>
      </c>
      <c r="W30" s="44">
        <f t="shared" si="66"/>
        <v>6.4759571094228789</v>
      </c>
      <c r="X30" s="43">
        <f t="shared" si="66"/>
        <v>1.7193967029112591</v>
      </c>
      <c r="Y30" s="43">
        <f t="shared" si="66"/>
        <v>1.6771150289881698</v>
      </c>
      <c r="Z30" s="43">
        <f t="shared" si="66"/>
        <v>2.0226744535816672</v>
      </c>
      <c r="AA30" s="43">
        <f t="shared" si="66"/>
        <v>2.6421477644171159</v>
      </c>
      <c r="AB30" s="132">
        <f t="shared" si="66"/>
        <v>8.0613338363856055</v>
      </c>
      <c r="AC30" s="43">
        <f t="shared" si="66"/>
        <v>2.1021906321641977</v>
      </c>
      <c r="AD30" s="43">
        <f t="shared" si="66"/>
        <v>2.6410239184062831</v>
      </c>
      <c r="AE30" s="43">
        <f t="shared" si="66"/>
        <v>3.064456112928331</v>
      </c>
      <c r="AF30" s="43">
        <f t="shared" si="66"/>
        <v>3.6895676256207333</v>
      </c>
      <c r="AG30" s="132">
        <f t="shared" si="66"/>
        <v>11.497237929388788</v>
      </c>
    </row>
    <row r="31" spans="1:33" x14ac:dyDescent="0.3">
      <c r="A31" s="138"/>
      <c r="B31" s="203" t="s">
        <v>10</v>
      </c>
      <c r="C31" s="204"/>
      <c r="D31" s="107">
        <f t="shared" ref="D31:AG31" si="67">D25/D29</f>
        <v>0.52285318559556782</v>
      </c>
      <c r="E31" s="107">
        <f t="shared" si="67"/>
        <v>0.7076446280991735</v>
      </c>
      <c r="F31" s="107">
        <f t="shared" si="67"/>
        <v>0.81612349914236704</v>
      </c>
      <c r="G31" s="107">
        <f t="shared" si="67"/>
        <v>1.4543907420013615</v>
      </c>
      <c r="H31" s="108">
        <f t="shared" si="67"/>
        <v>3.4929914529914532</v>
      </c>
      <c r="I31" s="107">
        <f t="shared" si="67"/>
        <v>1.0407608695652173</v>
      </c>
      <c r="J31" s="107">
        <f t="shared" si="67"/>
        <v>1.3195526940020332</v>
      </c>
      <c r="K31" s="107">
        <f t="shared" si="67"/>
        <v>1.5923545331529094</v>
      </c>
      <c r="L31" s="107">
        <f t="shared" si="67"/>
        <v>1.4448205822613405</v>
      </c>
      <c r="M31" s="108">
        <f t="shared" si="67"/>
        <v>5.3900541271989173</v>
      </c>
      <c r="N31" s="107">
        <f t="shared" si="67"/>
        <v>1.6937181663837011</v>
      </c>
      <c r="O31" s="107">
        <f t="shared" si="67"/>
        <v>1.7426621160409557</v>
      </c>
      <c r="P31" s="107">
        <f t="shared" si="67"/>
        <v>1.7634740817027119</v>
      </c>
      <c r="Q31" s="107">
        <f t="shared" si="67"/>
        <v>2.3846153846153846</v>
      </c>
      <c r="R31" s="108">
        <f t="shared" si="67"/>
        <v>7.5703526189661074</v>
      </c>
      <c r="S31" s="137">
        <f t="shared" si="67"/>
        <v>0.84663645869640991</v>
      </c>
      <c r="T31" s="137">
        <f t="shared" si="67"/>
        <v>0.90991304347826085</v>
      </c>
      <c r="U31" s="137">
        <f t="shared" si="67"/>
        <v>2.1193458594293668</v>
      </c>
      <c r="V31" s="137">
        <f t="shared" si="67"/>
        <v>2.551736111111111</v>
      </c>
      <c r="W31" s="158">
        <f t="shared" si="67"/>
        <v>6.4276203994115555</v>
      </c>
      <c r="X31" s="137">
        <f t="shared" si="67"/>
        <v>1.7092050209205021</v>
      </c>
      <c r="Y31" s="137">
        <f t="shared" si="67"/>
        <v>1.6665911332099155</v>
      </c>
      <c r="Z31" s="137">
        <f t="shared" si="67"/>
        <v>2.0103293839491005</v>
      </c>
      <c r="AA31" s="137">
        <f t="shared" si="67"/>
        <v>2.6265889023122089</v>
      </c>
      <c r="AB31" s="158">
        <f t="shared" si="67"/>
        <v>8.0127140180593344</v>
      </c>
      <c r="AC31" s="137">
        <f t="shared" si="67"/>
        <v>2.0914663853240167</v>
      </c>
      <c r="AD31" s="137">
        <f t="shared" si="67"/>
        <v>2.6281008542267714</v>
      </c>
      <c r="AE31" s="137">
        <f t="shared" si="67"/>
        <v>3.0505259263270488</v>
      </c>
      <c r="AF31" s="137">
        <f t="shared" si="67"/>
        <v>3.6742404085179428</v>
      </c>
      <c r="AG31" s="158">
        <f t="shared" si="67"/>
        <v>11.444330248052223</v>
      </c>
    </row>
    <row r="32" spans="1:33" x14ac:dyDescent="0.3">
      <c r="B32" s="46"/>
      <c r="C32" s="127" t="s">
        <v>15</v>
      </c>
      <c r="D32" s="50"/>
      <c r="E32" s="50"/>
      <c r="F32" s="50"/>
      <c r="G32" s="50"/>
      <c r="H32" s="16"/>
      <c r="I32" s="50"/>
      <c r="J32" s="50"/>
      <c r="K32" s="50"/>
      <c r="L32" s="50"/>
      <c r="M32" s="16"/>
      <c r="N32" s="50"/>
      <c r="O32" s="50"/>
      <c r="P32" s="50"/>
      <c r="Q32" s="50"/>
      <c r="R32" s="16"/>
      <c r="S32" s="83"/>
      <c r="T32" s="156"/>
      <c r="U32" s="150"/>
      <c r="V32" s="150"/>
      <c r="W32" s="150"/>
      <c r="X32" s="150"/>
      <c r="Y32" s="150"/>
      <c r="Z32" s="50"/>
      <c r="AA32" s="150"/>
      <c r="AB32" s="16"/>
      <c r="AC32" s="50"/>
      <c r="AD32" s="50"/>
      <c r="AE32" s="50"/>
      <c r="AF32" s="150"/>
      <c r="AG32" s="16"/>
    </row>
    <row r="33" spans="1:33" ht="15.6" x14ac:dyDescent="0.3">
      <c r="A33" s="138"/>
      <c r="B33" s="191" t="s">
        <v>25</v>
      </c>
      <c r="C33" s="192"/>
      <c r="D33" s="26" t="s">
        <v>45</v>
      </c>
      <c r="E33" s="26" t="s">
        <v>46</v>
      </c>
      <c r="F33" s="26" t="s">
        <v>47</v>
      </c>
      <c r="G33" s="26" t="s">
        <v>48</v>
      </c>
      <c r="H33" s="79" t="s">
        <v>48</v>
      </c>
      <c r="I33" s="26" t="s">
        <v>32</v>
      </c>
      <c r="J33" s="26" t="s">
        <v>37</v>
      </c>
      <c r="K33" s="26" t="s">
        <v>38</v>
      </c>
      <c r="L33" s="26" t="s">
        <v>39</v>
      </c>
      <c r="M33" s="79" t="s">
        <v>39</v>
      </c>
      <c r="N33" s="26" t="s">
        <v>34</v>
      </c>
      <c r="O33" s="26" t="s">
        <v>33</v>
      </c>
      <c r="P33" s="26" t="s">
        <v>35</v>
      </c>
      <c r="Q33" s="26" t="s">
        <v>36</v>
      </c>
      <c r="R33" s="79" t="s">
        <v>36</v>
      </c>
      <c r="S33" s="26" t="s">
        <v>54</v>
      </c>
      <c r="T33" s="26" t="s">
        <v>55</v>
      </c>
      <c r="U33" s="26" t="s">
        <v>56</v>
      </c>
      <c r="V33" s="26" t="s">
        <v>57</v>
      </c>
      <c r="W33" s="79" t="s">
        <v>57</v>
      </c>
      <c r="X33" s="26" t="s">
        <v>58</v>
      </c>
      <c r="Y33" s="28" t="s">
        <v>59</v>
      </c>
      <c r="Z33" s="28" t="s">
        <v>60</v>
      </c>
      <c r="AA33" s="28" t="s">
        <v>61</v>
      </c>
      <c r="AB33" s="81" t="s">
        <v>61</v>
      </c>
      <c r="AC33" s="28" t="s">
        <v>62</v>
      </c>
      <c r="AD33" s="28" t="s">
        <v>63</v>
      </c>
      <c r="AE33" s="28" t="s">
        <v>64</v>
      </c>
      <c r="AF33" s="28" t="s">
        <v>65</v>
      </c>
      <c r="AG33" s="81" t="s">
        <v>65</v>
      </c>
    </row>
    <row r="34" spans="1:33" ht="16.2" x14ac:dyDescent="0.45">
      <c r="A34" s="138"/>
      <c r="B34" s="193"/>
      <c r="C34" s="194"/>
      <c r="D34" s="27" t="s">
        <v>49</v>
      </c>
      <c r="E34" s="27" t="s">
        <v>50</v>
      </c>
      <c r="F34" s="27" t="s">
        <v>51</v>
      </c>
      <c r="G34" s="27" t="s">
        <v>52</v>
      </c>
      <c r="H34" s="80" t="s">
        <v>53</v>
      </c>
      <c r="I34" s="27" t="s">
        <v>40</v>
      </c>
      <c r="J34" s="27" t="s">
        <v>41</v>
      </c>
      <c r="K34" s="27" t="s">
        <v>42</v>
      </c>
      <c r="L34" s="27" t="s">
        <v>43</v>
      </c>
      <c r="M34" s="80" t="s">
        <v>44</v>
      </c>
      <c r="N34" s="27" t="s">
        <v>31</v>
      </c>
      <c r="O34" s="27" t="s">
        <v>30</v>
      </c>
      <c r="P34" s="27" t="s">
        <v>29</v>
      </c>
      <c r="Q34" s="27" t="s">
        <v>28</v>
      </c>
      <c r="R34" s="80" t="s">
        <v>27</v>
      </c>
      <c r="S34" s="27" t="s">
        <v>141</v>
      </c>
      <c r="T34" s="27" t="s">
        <v>147</v>
      </c>
      <c r="U34" s="27" t="s">
        <v>148</v>
      </c>
      <c r="V34" s="27" t="s">
        <v>149</v>
      </c>
      <c r="W34" s="80" t="s">
        <v>150</v>
      </c>
      <c r="X34" s="27" t="s">
        <v>151</v>
      </c>
      <c r="Y34" s="25" t="s">
        <v>106</v>
      </c>
      <c r="Z34" s="25" t="s">
        <v>107</v>
      </c>
      <c r="AA34" s="25" t="s">
        <v>108</v>
      </c>
      <c r="AB34" s="82" t="s">
        <v>109</v>
      </c>
      <c r="AC34" s="25" t="s">
        <v>110</v>
      </c>
      <c r="AD34" s="25" t="s">
        <v>111</v>
      </c>
      <c r="AE34" s="25" t="s">
        <v>112</v>
      </c>
      <c r="AF34" s="25" t="s">
        <v>113</v>
      </c>
      <c r="AG34" s="82" t="s">
        <v>114</v>
      </c>
    </row>
    <row r="35" spans="1:33" ht="15.6" x14ac:dyDescent="0.3">
      <c r="A35" s="138"/>
      <c r="B35" s="191" t="s">
        <v>146</v>
      </c>
      <c r="C35" s="192"/>
      <c r="D35" s="26"/>
      <c r="E35" s="26"/>
      <c r="F35" s="26"/>
      <c r="G35" s="26"/>
      <c r="H35" s="79"/>
      <c r="I35" s="26"/>
      <c r="J35" s="26"/>
      <c r="K35" s="26"/>
      <c r="L35" s="26"/>
      <c r="M35" s="79"/>
      <c r="N35" s="26"/>
      <c r="O35" s="26"/>
      <c r="P35" s="26"/>
      <c r="Q35" s="26"/>
      <c r="R35" s="79"/>
      <c r="S35" s="26"/>
      <c r="T35" s="26"/>
      <c r="U35" s="26"/>
      <c r="V35" s="26"/>
      <c r="W35" s="79"/>
      <c r="X35" s="26"/>
      <c r="Y35" s="28"/>
      <c r="Z35" s="28"/>
      <c r="AA35" s="28"/>
      <c r="AB35" s="81"/>
      <c r="AC35" s="28"/>
      <c r="AD35" s="28"/>
      <c r="AE35" s="28"/>
      <c r="AF35" s="28"/>
      <c r="AG35" s="81"/>
    </row>
    <row r="36" spans="1:33" outlineLevel="1" x14ac:dyDescent="0.3">
      <c r="A36" s="138"/>
      <c r="B36" s="70" t="s">
        <v>75</v>
      </c>
      <c r="C36" s="71"/>
      <c r="D36" s="64">
        <v>2740</v>
      </c>
      <c r="E36" s="64">
        <v>3212</v>
      </c>
      <c r="F36" s="64">
        <v>3560</v>
      </c>
      <c r="G36" s="64">
        <v>4556</v>
      </c>
      <c r="H36" s="19"/>
      <c r="I36" s="64">
        <v>3968</v>
      </c>
      <c r="J36" s="64">
        <v>4556</v>
      </c>
      <c r="K36" s="64">
        <v>5033</v>
      </c>
      <c r="L36" s="64">
        <v>6392</v>
      </c>
      <c r="M36" s="19"/>
      <c r="N36" s="64">
        <v>5667</v>
      </c>
      <c r="O36" s="64">
        <v>6251</v>
      </c>
      <c r="P36" s="64">
        <v>6667</v>
      </c>
      <c r="Q36" s="64">
        <v>8433</v>
      </c>
      <c r="R36" s="19"/>
      <c r="S36" s="64">
        <v>7308</v>
      </c>
      <c r="T36" s="64">
        <v>8115</v>
      </c>
      <c r="U36" s="64">
        <v>8487</v>
      </c>
      <c r="V36" s="64">
        <v>10248</v>
      </c>
      <c r="W36" s="19"/>
      <c r="X36" s="64">
        <v>8562</v>
      </c>
      <c r="Y36" s="64">
        <f>+((Y42+X42)/2)*Y52</f>
        <v>8978.2155840000032</v>
      </c>
      <c r="Z36" s="64">
        <f>+((Z42+Y42)/2)*Z52</f>
        <v>10254.4451825</v>
      </c>
      <c r="AA36" s="64">
        <f>+((AA42+Z42)/2)*AA52</f>
        <v>12099.149370418038</v>
      </c>
      <c r="AB36" s="19"/>
      <c r="AC36" s="64">
        <f>+((AC42+AA42)/2)*AC52</f>
        <v>10755.357686622057</v>
      </c>
      <c r="AD36" s="64">
        <f>+((AD42+AC42)/2)*AD52</f>
        <v>11717.568646359186</v>
      </c>
      <c r="AE36" s="64">
        <f>+((AE42+AD42)/2)*AE52</f>
        <v>13882.873887518008</v>
      </c>
      <c r="AF36" s="64">
        <f>+((AF42+AE42)/2)*AF52</f>
        <v>16808.770479403469</v>
      </c>
      <c r="AG36" s="19"/>
    </row>
    <row r="37" spans="1:33" outlineLevel="1" x14ac:dyDescent="0.3">
      <c r="A37" s="138"/>
      <c r="B37" s="70" t="s">
        <v>76</v>
      </c>
      <c r="C37" s="71"/>
      <c r="D37" s="64">
        <v>1307</v>
      </c>
      <c r="E37" s="64">
        <v>1585</v>
      </c>
      <c r="F37" s="64">
        <v>1605</v>
      </c>
      <c r="G37" s="64">
        <v>2065</v>
      </c>
      <c r="H37" s="19"/>
      <c r="I37" s="64">
        <v>1905</v>
      </c>
      <c r="J37" s="64">
        <v>2242</v>
      </c>
      <c r="K37" s="64">
        <v>2481</v>
      </c>
      <c r="L37" s="64">
        <v>3250</v>
      </c>
      <c r="M37" s="19"/>
      <c r="N37" s="64">
        <v>3036</v>
      </c>
      <c r="O37" s="64">
        <v>3302</v>
      </c>
      <c r="P37" s="64">
        <v>3313</v>
      </c>
      <c r="Q37" s="64">
        <v>4151</v>
      </c>
      <c r="R37" s="19"/>
      <c r="S37" s="64">
        <v>3650</v>
      </c>
      <c r="T37" s="64">
        <v>4109</v>
      </c>
      <c r="U37" s="64">
        <v>4124</v>
      </c>
      <c r="V37" s="64">
        <v>5159</v>
      </c>
      <c r="W37" s="19"/>
      <c r="X37" s="64">
        <v>4254</v>
      </c>
      <c r="Y37" s="64">
        <f>+((Y44+X44)/2)*Y54</f>
        <v>4682.3547749999998</v>
      </c>
      <c r="Z37" s="64">
        <f t="shared" ref="Z37:AA37" si="68">+((Z44+Y44)/2)*Z54</f>
        <v>4954.0441352412408</v>
      </c>
      <c r="AA37" s="64">
        <f t="shared" si="68"/>
        <v>6013.4335364572962</v>
      </c>
      <c r="AB37" s="19"/>
      <c r="AC37" s="64">
        <f>+((AC44+AA44)/2)*AC54</f>
        <v>5392.0007091258185</v>
      </c>
      <c r="AD37" s="64">
        <f>+((AD44+AC44)/2)*AD54</f>
        <v>6128.5305731201197</v>
      </c>
      <c r="AE37" s="64">
        <f t="shared" ref="AE37:AF37" si="69">+((AE44+AD44)/2)*AE54</f>
        <v>6692.322582311609</v>
      </c>
      <c r="AF37" s="64">
        <f t="shared" si="69"/>
        <v>8345.470032490266</v>
      </c>
      <c r="AG37" s="19"/>
    </row>
    <row r="38" spans="1:33" outlineLevel="1" x14ac:dyDescent="0.3">
      <c r="A38" s="138"/>
      <c r="B38" s="70" t="s">
        <v>77</v>
      </c>
      <c r="C38" s="74"/>
      <c r="D38" s="64">
        <v>862</v>
      </c>
      <c r="E38" s="64">
        <v>1025</v>
      </c>
      <c r="F38" s="64">
        <v>1154</v>
      </c>
      <c r="G38" s="64">
        <v>1349</v>
      </c>
      <c r="H38" s="19"/>
      <c r="I38" s="64">
        <v>1375</v>
      </c>
      <c r="J38" s="64">
        <v>1569</v>
      </c>
      <c r="K38" s="64">
        <v>1760</v>
      </c>
      <c r="L38" s="64">
        <v>2059</v>
      </c>
      <c r="M38" s="19"/>
      <c r="N38" s="64">
        <v>2091</v>
      </c>
      <c r="O38" s="64">
        <v>2316</v>
      </c>
      <c r="P38" s="64">
        <v>2422</v>
      </c>
      <c r="Q38" s="64">
        <v>2759</v>
      </c>
      <c r="R38" s="19"/>
      <c r="S38" s="64">
        <v>2682</v>
      </c>
      <c r="T38" s="64">
        <v>3012</v>
      </c>
      <c r="U38" s="64">
        <v>3267</v>
      </c>
      <c r="V38" s="64">
        <v>3665</v>
      </c>
      <c r="W38" s="19"/>
      <c r="X38" s="64">
        <v>3257</v>
      </c>
      <c r="Y38" s="64">
        <f>+((Y46+X46)/2)*Y56</f>
        <v>3621.9113280000001</v>
      </c>
      <c r="Z38" s="64">
        <f t="shared" ref="Z38:AA38" si="70">+((Z46+Y46)/2)*Z56</f>
        <v>4215.2291456568028</v>
      </c>
      <c r="AA38" s="64">
        <f t="shared" si="70"/>
        <v>4528.8458577673173</v>
      </c>
      <c r="AB38" s="19"/>
      <c r="AC38" s="64">
        <f>+((AC46+AA46)/2)*AC56</f>
        <v>4372.6479612316589</v>
      </c>
      <c r="AD38" s="64">
        <f>+((AD46+AC46)/2)*AD56</f>
        <v>5029.6910399032031</v>
      </c>
      <c r="AE38" s="64">
        <f t="shared" ref="AE38:AF38" si="71">+((AE46+AD46)/2)*AE56</f>
        <v>6049.1417496548829</v>
      </c>
      <c r="AF38" s="64">
        <f t="shared" si="71"/>
        <v>6662.0451794099026</v>
      </c>
      <c r="AG38" s="19"/>
    </row>
    <row r="39" spans="1:33" ht="16.2" outlineLevel="1" x14ac:dyDescent="0.45">
      <c r="A39" s="138"/>
      <c r="B39" s="70" t="s">
        <v>78</v>
      </c>
      <c r="C39" s="71"/>
      <c r="D39" s="99">
        <v>473</v>
      </c>
      <c r="E39" s="99">
        <v>614</v>
      </c>
      <c r="F39" s="99">
        <v>692</v>
      </c>
      <c r="G39" s="99">
        <v>839</v>
      </c>
      <c r="H39" s="19"/>
      <c r="I39" s="99">
        <v>784</v>
      </c>
      <c r="J39" s="99">
        <v>954</v>
      </c>
      <c r="K39" s="99">
        <v>1054</v>
      </c>
      <c r="L39" s="99">
        <v>1271</v>
      </c>
      <c r="M39" s="19"/>
      <c r="N39" s="99">
        <v>1172</v>
      </c>
      <c r="O39" s="99">
        <v>1362</v>
      </c>
      <c r="P39" s="99">
        <v>1325</v>
      </c>
      <c r="Q39" s="99">
        <v>1571</v>
      </c>
      <c r="R39" s="19"/>
      <c r="S39" s="99">
        <v>1437</v>
      </c>
      <c r="T39" s="99">
        <v>1650</v>
      </c>
      <c r="U39" s="99">
        <v>1774</v>
      </c>
      <c r="V39" s="99">
        <v>2010</v>
      </c>
      <c r="W39" s="19"/>
      <c r="X39" s="99">
        <v>1664</v>
      </c>
      <c r="Y39" s="99">
        <f>+((Y48+X48)/2)*Y58</f>
        <v>1949.4296760000002</v>
      </c>
      <c r="Z39" s="99">
        <f t="shared" ref="Z39:AA39" si="72">+((Z48+Y48)/2)*Z58</f>
        <v>2197.1399371559423</v>
      </c>
      <c r="AA39" s="99">
        <f t="shared" si="72"/>
        <v>2395.0850880304256</v>
      </c>
      <c r="AB39" s="19"/>
      <c r="AC39" s="99">
        <f>+((AC48+AA48)/2)*AC58</f>
        <v>2152.8938940041653</v>
      </c>
      <c r="AD39" s="99">
        <f>+((AD48+AC48)/2)*AD58</f>
        <v>2629.0342432136258</v>
      </c>
      <c r="AE39" s="99">
        <f t="shared" ref="AE39:AF39" si="73">+((AE48+AD48)/2)*AE58</f>
        <v>3053.9728135974638</v>
      </c>
      <c r="AF39" s="99">
        <f t="shared" si="73"/>
        <v>3419.0476188233947</v>
      </c>
      <c r="AG39" s="19"/>
    </row>
    <row r="40" spans="1:33" s="92" customFormat="1" outlineLevel="1" x14ac:dyDescent="0.3">
      <c r="A40" s="139"/>
      <c r="B40" s="90" t="s">
        <v>20</v>
      </c>
      <c r="C40" s="72"/>
      <c r="D40" s="100">
        <f>SUM(D36:D39)</f>
        <v>5382</v>
      </c>
      <c r="E40" s="100">
        <f t="shared" ref="E40:G40" si="74">SUM(E36:E39)</f>
        <v>6436</v>
      </c>
      <c r="F40" s="100">
        <f t="shared" si="74"/>
        <v>7011</v>
      </c>
      <c r="G40" s="100">
        <f t="shared" si="74"/>
        <v>8809</v>
      </c>
      <c r="H40" s="91"/>
      <c r="I40" s="100">
        <f>SUM(I36:I39)</f>
        <v>8032</v>
      </c>
      <c r="J40" s="100">
        <f t="shared" ref="J40:L40" si="75">SUM(J36:J39)</f>
        <v>9321</v>
      </c>
      <c r="K40" s="100">
        <f t="shared" si="75"/>
        <v>10328</v>
      </c>
      <c r="L40" s="100">
        <f t="shared" si="75"/>
        <v>12972</v>
      </c>
      <c r="M40" s="91"/>
      <c r="N40" s="100">
        <f>SUM(N36:N39)</f>
        <v>11966</v>
      </c>
      <c r="O40" s="100">
        <f t="shared" ref="O40" si="76">SUM(O36:O39)</f>
        <v>13231</v>
      </c>
      <c r="P40" s="100">
        <f t="shared" ref="P40" si="77">SUM(P36:P39)</f>
        <v>13727</v>
      </c>
      <c r="Q40" s="100">
        <f t="shared" ref="Q40" si="78">SUM(Q36:Q39)</f>
        <v>16914</v>
      </c>
      <c r="R40" s="91"/>
      <c r="S40" s="100">
        <f>SUM(S36:S39)</f>
        <v>15077</v>
      </c>
      <c r="T40" s="100">
        <f>SUM(T36:T39)</f>
        <v>16886</v>
      </c>
      <c r="U40" s="100">
        <f t="shared" ref="U40" si="79">SUM(U36:U39)</f>
        <v>17652</v>
      </c>
      <c r="V40" s="100">
        <f t="shared" ref="V40" si="80">SUM(V36:V39)</f>
        <v>21082</v>
      </c>
      <c r="W40" s="91"/>
      <c r="X40" s="100">
        <f>SUM(X36:X39)</f>
        <v>17737</v>
      </c>
      <c r="Y40" s="100">
        <f>SUM(Y36:Y39)</f>
        <v>19231.911363000003</v>
      </c>
      <c r="Z40" s="100">
        <f t="shared" ref="Z40:AA40" si="81">SUM(Z36:Z39)</f>
        <v>21620.858400553985</v>
      </c>
      <c r="AA40" s="100">
        <f t="shared" si="81"/>
        <v>25036.513852673077</v>
      </c>
      <c r="AB40" s="91"/>
      <c r="AC40" s="100">
        <f>SUM(AC36:AC39)</f>
        <v>22672.900250983701</v>
      </c>
      <c r="AD40" s="100">
        <f>SUM(AD36:AD39)</f>
        <v>25504.824502596137</v>
      </c>
      <c r="AE40" s="100">
        <f t="shared" ref="AE40:AF40" si="82">SUM(AE36:AE39)</f>
        <v>29678.311033081962</v>
      </c>
      <c r="AF40" s="100">
        <f t="shared" si="82"/>
        <v>35235.333310127033</v>
      </c>
      <c r="AG40" s="91"/>
    </row>
    <row r="41" spans="1:33" ht="17.399999999999999" x14ac:dyDescent="0.45">
      <c r="A41" s="138"/>
      <c r="B41" s="208" t="s">
        <v>86</v>
      </c>
      <c r="C41" s="209"/>
      <c r="D41" s="27" t="s">
        <v>49</v>
      </c>
      <c r="E41" s="27" t="s">
        <v>50</v>
      </c>
      <c r="F41" s="27" t="s">
        <v>51</v>
      </c>
      <c r="G41" s="27" t="s">
        <v>52</v>
      </c>
      <c r="H41" s="80" t="s">
        <v>53</v>
      </c>
      <c r="I41" s="27" t="s">
        <v>40</v>
      </c>
      <c r="J41" s="27" t="s">
        <v>41</v>
      </c>
      <c r="K41" s="27" t="s">
        <v>42</v>
      </c>
      <c r="L41" s="27" t="s">
        <v>43</v>
      </c>
      <c r="M41" s="80" t="s">
        <v>44</v>
      </c>
      <c r="N41" s="27" t="s">
        <v>31</v>
      </c>
      <c r="O41" s="27" t="s">
        <v>30</v>
      </c>
      <c r="P41" s="27" t="s">
        <v>29</v>
      </c>
      <c r="Q41" s="27" t="s">
        <v>28</v>
      </c>
      <c r="R41" s="80" t="s">
        <v>27</v>
      </c>
      <c r="S41" s="27" t="s">
        <v>141</v>
      </c>
      <c r="T41" s="27" t="s">
        <v>147</v>
      </c>
      <c r="U41" s="27" t="s">
        <v>148</v>
      </c>
      <c r="V41" s="27" t="s">
        <v>149</v>
      </c>
      <c r="W41" s="80" t="s">
        <v>150</v>
      </c>
      <c r="X41" s="27" t="s">
        <v>151</v>
      </c>
      <c r="Y41" s="25" t="s">
        <v>106</v>
      </c>
      <c r="Z41" s="25" t="s">
        <v>107</v>
      </c>
      <c r="AA41" s="25" t="s">
        <v>108</v>
      </c>
      <c r="AB41" s="82" t="s">
        <v>109</v>
      </c>
      <c r="AC41" s="25" t="s">
        <v>110</v>
      </c>
      <c r="AD41" s="25" t="s">
        <v>111</v>
      </c>
      <c r="AE41" s="25" t="s">
        <v>112</v>
      </c>
      <c r="AF41" s="25" t="s">
        <v>113</v>
      </c>
      <c r="AG41" s="82" t="s">
        <v>114</v>
      </c>
    </row>
    <row r="42" spans="1:33" ht="15.6" outlineLevel="1" x14ac:dyDescent="0.3">
      <c r="A42" s="138"/>
      <c r="B42" s="70" t="s">
        <v>115</v>
      </c>
      <c r="C42" s="93"/>
      <c r="D42" s="29">
        <v>222</v>
      </c>
      <c r="E42" s="29">
        <v>226</v>
      </c>
      <c r="F42" s="29">
        <v>229</v>
      </c>
      <c r="G42" s="29">
        <v>231</v>
      </c>
      <c r="H42" s="49"/>
      <c r="I42" s="29">
        <v>234</v>
      </c>
      <c r="J42" s="29">
        <v>236</v>
      </c>
      <c r="K42" s="29">
        <v>239</v>
      </c>
      <c r="L42" s="29">
        <v>239</v>
      </c>
      <c r="M42" s="19"/>
      <c r="N42" s="29">
        <v>241</v>
      </c>
      <c r="O42" s="29">
        <v>241</v>
      </c>
      <c r="P42" s="29">
        <v>242</v>
      </c>
      <c r="Q42" s="29">
        <v>242</v>
      </c>
      <c r="R42" s="19"/>
      <c r="S42" s="29">
        <v>243</v>
      </c>
      <c r="T42" s="29">
        <v>244</v>
      </c>
      <c r="U42" s="29">
        <v>247</v>
      </c>
      <c r="V42" s="29">
        <v>248</v>
      </c>
      <c r="W42" s="19"/>
      <c r="X42" s="29">
        <v>253</v>
      </c>
      <c r="Y42" s="29">
        <f t="shared" ref="Y42" si="83">T42*(1+Y43)</f>
        <v>265.96000000000004</v>
      </c>
      <c r="Z42" s="29">
        <f t="shared" ref="Z42" si="84">U42*(1+Z43)</f>
        <v>259.35000000000002</v>
      </c>
      <c r="AA42" s="29">
        <f t="shared" ref="AA42" si="85">V42*(1+AA43)</f>
        <v>258.28863041186275</v>
      </c>
      <c r="AB42" s="19"/>
      <c r="AC42" s="29">
        <f>X42*(1+AC43)</f>
        <v>267.08189627759072</v>
      </c>
      <c r="AD42" s="29">
        <f t="shared" ref="AD42" si="86">Y42*(1+AD43)</f>
        <v>281.72784299433738</v>
      </c>
      <c r="AE42" s="29">
        <f t="shared" ref="AE42" si="87">Z42*(1+AE43)</f>
        <v>272.73457386722339</v>
      </c>
      <c r="AF42" s="29">
        <f t="shared" ref="AF42" si="88">AA42*(1+AF43)</f>
        <v>271.72227071376352</v>
      </c>
      <c r="AG42" s="19"/>
    </row>
    <row r="43" spans="1:33" ht="15.6" outlineLevel="1" x14ac:dyDescent="0.3">
      <c r="A43" s="138"/>
      <c r="B43" s="47" t="s">
        <v>82</v>
      </c>
      <c r="C43" s="93"/>
      <c r="D43" s="29"/>
      <c r="E43" s="29"/>
      <c r="F43" s="29"/>
      <c r="G43" s="29"/>
      <c r="H43" s="49"/>
      <c r="I43" s="55">
        <f>+I42/D42-1</f>
        <v>5.4054054054053946E-2</v>
      </c>
      <c r="J43" s="55">
        <f>+J42/E42-1</f>
        <v>4.4247787610619538E-2</v>
      </c>
      <c r="K43" s="55">
        <f>+K42/F42-1</f>
        <v>4.366812227074246E-2</v>
      </c>
      <c r="L43" s="55">
        <f>+L42/G42-1</f>
        <v>3.463203463203457E-2</v>
      </c>
      <c r="M43" s="19"/>
      <c r="N43" s="55">
        <f>+N42/I42-1</f>
        <v>2.9914529914529808E-2</v>
      </c>
      <c r="O43" s="55">
        <f>+O42/J42-1</f>
        <v>2.1186440677966045E-2</v>
      </c>
      <c r="P43" s="55">
        <f>+P42/K42-1</f>
        <v>1.2552301255230214E-2</v>
      </c>
      <c r="Q43" s="55">
        <f>+Q42/L42-1</f>
        <v>1.2552301255230214E-2</v>
      </c>
      <c r="R43" s="19"/>
      <c r="S43" s="140">
        <f>+S42/N42-1</f>
        <v>8.2987551867219622E-3</v>
      </c>
      <c r="T43" s="55">
        <f>+T42/O42-1</f>
        <v>1.2448132780082943E-2</v>
      </c>
      <c r="U43" s="55">
        <f>+U42/P42-1</f>
        <v>2.0661157024793431E-2</v>
      </c>
      <c r="V43" s="55">
        <f>+V42/Q42-1</f>
        <v>2.4793388429751984E-2</v>
      </c>
      <c r="W43" s="19"/>
      <c r="X43" s="140">
        <f>+X42/S42-1</f>
        <v>4.1152263374485631E-2</v>
      </c>
      <c r="Y43" s="59">
        <v>0.09</v>
      </c>
      <c r="Z43" s="59">
        <v>0.05</v>
      </c>
      <c r="AA43" s="59">
        <f>AVERAGE(V43,X43,Y43,Z43)-1%</f>
        <v>4.1486412951059405E-2</v>
      </c>
      <c r="AB43" s="19"/>
      <c r="AC43" s="59">
        <f>AVERAGE(X43,Y43,Z43,AA43)</f>
        <v>5.5659669081386261E-2</v>
      </c>
      <c r="AD43" s="59">
        <f>AVERAGE(Y43,Z43,AA43,AC43)</f>
        <v>5.9286520508111416E-2</v>
      </c>
      <c r="AE43" s="59">
        <f>AVERAGE(Z43,AA43,AC43,AD43)</f>
        <v>5.1608150635139273E-2</v>
      </c>
      <c r="AF43" s="59">
        <f>AVERAGE(AA43,AC43,AD43,AE43)</f>
        <v>5.2010188293924085E-2</v>
      </c>
      <c r="AG43" s="19"/>
    </row>
    <row r="44" spans="1:33" outlineLevel="1" x14ac:dyDescent="0.3">
      <c r="A44" s="138"/>
      <c r="B44" s="56" t="s">
        <v>117</v>
      </c>
      <c r="C44" s="94"/>
      <c r="D44" s="29">
        <v>333</v>
      </c>
      <c r="E44" s="29">
        <v>338</v>
      </c>
      <c r="F44" s="29">
        <v>342</v>
      </c>
      <c r="G44" s="29">
        <v>349</v>
      </c>
      <c r="H44" s="19"/>
      <c r="I44" s="29">
        <v>354</v>
      </c>
      <c r="J44" s="29">
        <v>360</v>
      </c>
      <c r="K44" s="29">
        <v>364</v>
      </c>
      <c r="L44" s="29">
        <v>370</v>
      </c>
      <c r="M44" s="19"/>
      <c r="N44" s="29">
        <v>377</v>
      </c>
      <c r="O44" s="29">
        <v>376</v>
      </c>
      <c r="P44" s="29">
        <v>375</v>
      </c>
      <c r="Q44" s="29">
        <v>381</v>
      </c>
      <c r="R44" s="19"/>
      <c r="S44" s="133">
        <v>384</v>
      </c>
      <c r="T44" s="29">
        <v>385</v>
      </c>
      <c r="U44" s="29">
        <v>387</v>
      </c>
      <c r="V44" s="29">
        <v>394</v>
      </c>
      <c r="W44" s="19"/>
      <c r="X44" s="29">
        <v>406</v>
      </c>
      <c r="Y44" s="29">
        <f t="shared" ref="Y44" si="89">T44*(1+Y45)</f>
        <v>411.95000000000005</v>
      </c>
      <c r="Z44" s="29">
        <f t="shared" ref="Z44" si="90">U44*(1+Z45)</f>
        <v>401.84264985236217</v>
      </c>
      <c r="AA44" s="29">
        <f t="shared" ref="AA44" si="91">V44*(1+AA45)</f>
        <v>409.73690194389769</v>
      </c>
      <c r="AB44" s="19"/>
      <c r="AC44" s="29">
        <f>X44*(1+AC45)</f>
        <v>426.86699346907812</v>
      </c>
      <c r="AD44" s="29">
        <f t="shared" ref="AD44" si="92">Y44*(1+AD45)</f>
        <v>432.5156780493229</v>
      </c>
      <c r="AE44" s="29">
        <f t="shared" ref="AE44" si="93">Z44*(1+AE45)</f>
        <v>419.88676761197166</v>
      </c>
      <c r="AF44" s="29">
        <f t="shared" ref="AF44" si="94">AA44*(1+AF45)</f>
        <v>428.80647786438323</v>
      </c>
      <c r="AG44" s="19"/>
    </row>
    <row r="45" spans="1:33" outlineLevel="1" x14ac:dyDescent="0.3">
      <c r="A45" s="138"/>
      <c r="B45" s="47" t="s">
        <v>83</v>
      </c>
      <c r="C45" s="94"/>
      <c r="D45" s="29"/>
      <c r="E45" s="29"/>
      <c r="F45" s="29"/>
      <c r="G45" s="29"/>
      <c r="H45" s="19"/>
      <c r="I45" s="55">
        <f>+I44/D44-1</f>
        <v>6.3063063063063085E-2</v>
      </c>
      <c r="J45" s="55">
        <f>+J44/E44-1</f>
        <v>6.5088757396449815E-2</v>
      </c>
      <c r="K45" s="55">
        <f>+K44/F44-1</f>
        <v>6.4327485380117011E-2</v>
      </c>
      <c r="L45" s="55">
        <f>+L44/G44-1</f>
        <v>6.0171919770773741E-2</v>
      </c>
      <c r="M45" s="19"/>
      <c r="N45" s="55">
        <f>+N44/I44-1</f>
        <v>6.4971751412429279E-2</v>
      </c>
      <c r="O45" s="55">
        <f>+O44/J44-1</f>
        <v>4.4444444444444509E-2</v>
      </c>
      <c r="P45" s="55">
        <f>+P44/K44-1</f>
        <v>3.0219780219780112E-2</v>
      </c>
      <c r="Q45" s="55">
        <f>+Q44/L44-1</f>
        <v>2.9729729729729648E-2</v>
      </c>
      <c r="R45" s="19"/>
      <c r="S45" s="140">
        <f>+S44/N44-1</f>
        <v>1.8567639257294433E-2</v>
      </c>
      <c r="T45" s="55">
        <f>+T44/O44-1</f>
        <v>2.3936170212766061E-2</v>
      </c>
      <c r="U45" s="55">
        <f>+U44/P44-1</f>
        <v>3.2000000000000028E-2</v>
      </c>
      <c r="V45" s="55">
        <f>+V44/Q44-1</f>
        <v>3.4120734908136496E-2</v>
      </c>
      <c r="W45" s="19"/>
      <c r="X45" s="140">
        <f>+X44/S44-1</f>
        <v>5.7291666666666741E-2</v>
      </c>
      <c r="Y45" s="59">
        <v>7.0000000000000007E-2</v>
      </c>
      <c r="Z45" s="59">
        <f>AVERAGE(U45,V45,X45,Y45)-1%</f>
        <v>3.8353100393700816E-2</v>
      </c>
      <c r="AA45" s="59">
        <f>AVERAGE(V45,X45,Y45,Z45)-1%</f>
        <v>3.9941375492126015E-2</v>
      </c>
      <c r="AB45" s="19"/>
      <c r="AC45" s="59">
        <f>AVERAGE(X45,Y45,Z45,AA45)</f>
        <v>5.1396535638123395E-2</v>
      </c>
      <c r="AD45" s="59">
        <f>AVERAGE(Y45,Z45,AA45,AC45)</f>
        <v>4.9922752880987561E-2</v>
      </c>
      <c r="AE45" s="59">
        <f>AVERAGE(Z45,AA45,AC45,AD45)</f>
        <v>4.4903441101234454E-2</v>
      </c>
      <c r="AF45" s="59">
        <f>AVERAGE(AA45,AC45,AD45,AE45)</f>
        <v>4.6541026278117861E-2</v>
      </c>
      <c r="AG45" s="19"/>
    </row>
    <row r="46" spans="1:33" outlineLevel="1" x14ac:dyDescent="0.3">
      <c r="A46" s="138"/>
      <c r="B46" s="56" t="s">
        <v>79</v>
      </c>
      <c r="C46" s="94"/>
      <c r="D46" s="29">
        <v>566</v>
      </c>
      <c r="E46" s="29">
        <v>592</v>
      </c>
      <c r="F46" s="29">
        <v>629</v>
      </c>
      <c r="G46" s="29">
        <v>673.4</v>
      </c>
      <c r="H46" s="22"/>
      <c r="I46" s="29">
        <v>716</v>
      </c>
      <c r="J46" s="29">
        <v>756</v>
      </c>
      <c r="K46" s="29">
        <v>794</v>
      </c>
      <c r="L46" s="29">
        <v>828</v>
      </c>
      <c r="M46" s="22"/>
      <c r="N46" s="29">
        <v>873</v>
      </c>
      <c r="O46" s="29">
        <v>894</v>
      </c>
      <c r="P46" s="29">
        <v>917</v>
      </c>
      <c r="Q46" s="29">
        <v>947</v>
      </c>
      <c r="R46" s="22"/>
      <c r="S46" s="133">
        <v>981</v>
      </c>
      <c r="T46" s="29">
        <v>1003</v>
      </c>
      <c r="U46" s="29">
        <v>1013</v>
      </c>
      <c r="V46" s="29">
        <v>1038.4000000000001</v>
      </c>
      <c r="W46" s="24"/>
      <c r="X46" s="29">
        <v>1093</v>
      </c>
      <c r="Y46" s="29">
        <f t="shared" ref="Y46" si="95">T46*(1+Y47)</f>
        <v>1113.3300000000002</v>
      </c>
      <c r="Z46" s="29">
        <f t="shared" ref="Z46" si="96">U46*(1+Z47)</f>
        <v>1110.595897254829</v>
      </c>
      <c r="AA46" s="29">
        <f t="shared" ref="AA46" si="97">V46*(1+AA47)</f>
        <v>1136.2764582154095</v>
      </c>
      <c r="AB46" s="22"/>
      <c r="AC46" s="29">
        <f>X46*(1+AC47)</f>
        <v>1206.3358034534615</v>
      </c>
      <c r="AD46" s="29">
        <f t="shared" ref="AD46" si="98">Y46*(1+AD47)</f>
        <v>1225.8578346121185</v>
      </c>
      <c r="AE46" s="29">
        <f t="shared" ref="AE46" si="99">Z46*(1+AE47)</f>
        <v>1220.3688726763039</v>
      </c>
      <c r="AF46" s="29">
        <f t="shared" ref="AF46" si="100">AA46*(1+AF47)</f>
        <v>1249.2973656687088</v>
      </c>
      <c r="AG46" s="22"/>
    </row>
    <row r="47" spans="1:33" outlineLevel="1" x14ac:dyDescent="0.3">
      <c r="A47" s="138"/>
      <c r="B47" s="47" t="s">
        <v>84</v>
      </c>
      <c r="C47" s="94"/>
      <c r="D47" s="29"/>
      <c r="E47" s="29"/>
      <c r="F47" s="29"/>
      <c r="G47" s="29"/>
      <c r="H47" s="22"/>
      <c r="I47" s="55">
        <f>+I46/D46-1</f>
        <v>0.26501766784452307</v>
      </c>
      <c r="J47" s="55">
        <f>+J46/E46-1</f>
        <v>0.27702702702702697</v>
      </c>
      <c r="K47" s="55">
        <f>+K46/F46-1</f>
        <v>0.26232114467408585</v>
      </c>
      <c r="L47" s="55">
        <f>+L46/G46-1</f>
        <v>0.22958122958122962</v>
      </c>
      <c r="M47" s="22"/>
      <c r="N47" s="55">
        <f>+N46/I46-1</f>
        <v>0.21927374301675973</v>
      </c>
      <c r="O47" s="55">
        <f>+O46/J46-1</f>
        <v>0.18253968253968256</v>
      </c>
      <c r="P47" s="55">
        <f>+P46/K46-1</f>
        <v>0.15491183879093207</v>
      </c>
      <c r="Q47" s="55">
        <f>+Q46/L46-1</f>
        <v>0.143719806763285</v>
      </c>
      <c r="R47" s="22"/>
      <c r="S47" s="140">
        <f>+S46/N46-1</f>
        <v>0.12371134020618557</v>
      </c>
      <c r="T47" s="55">
        <f>+T46/O46-1</f>
        <v>0.12192393736017904</v>
      </c>
      <c r="U47" s="55">
        <f>+U46/P46-1</f>
        <v>0.10468920392584513</v>
      </c>
      <c r="V47" s="55">
        <f>+V46/Q46-1</f>
        <v>9.6515311510031676E-2</v>
      </c>
      <c r="W47" s="24"/>
      <c r="X47" s="140">
        <f>+X46/S46-1</f>
        <v>0.11416921508664624</v>
      </c>
      <c r="Y47" s="59">
        <v>0.11</v>
      </c>
      <c r="Z47" s="59">
        <f>AVERAGE(U47,V47,X47,Y47)-1%</f>
        <v>9.6343432630630763E-2</v>
      </c>
      <c r="AA47" s="59">
        <f>AVERAGE(V47,X47,Y47,Z47)-1%</f>
        <v>9.4256989806827174E-2</v>
      </c>
      <c r="AB47" s="19"/>
      <c r="AC47" s="59">
        <f>AVERAGE(X47,Y47,Z47,AA47)</f>
        <v>0.10369240938102604</v>
      </c>
      <c r="AD47" s="59">
        <f>AVERAGE(Y47,Z47,AA47,AC47)</f>
        <v>0.10107320795462099</v>
      </c>
      <c r="AE47" s="59">
        <f>AVERAGE(Z47,AA47,AC47,AD47)</f>
        <v>9.8841509943276243E-2</v>
      </c>
      <c r="AF47" s="59">
        <f>AVERAGE(AA47,AC47,AD47,AE47)</f>
        <v>9.9466029271437606E-2</v>
      </c>
      <c r="AG47" s="19"/>
    </row>
    <row r="48" spans="1:33" outlineLevel="1" x14ac:dyDescent="0.3">
      <c r="A48" s="138"/>
      <c r="B48" s="56" t="s">
        <v>80</v>
      </c>
      <c r="C48" s="94"/>
      <c r="D48" s="29">
        <v>533</v>
      </c>
      <c r="E48" s="29">
        <v>556</v>
      </c>
      <c r="F48" s="29">
        <v>587</v>
      </c>
      <c r="G48" s="29">
        <v>606.4</v>
      </c>
      <c r="H48" s="19"/>
      <c r="I48" s="29">
        <v>632</v>
      </c>
      <c r="J48" s="29">
        <v>654</v>
      </c>
      <c r="K48" s="29">
        <v>675</v>
      </c>
      <c r="L48" s="29">
        <v>692</v>
      </c>
      <c r="M48" s="19"/>
      <c r="N48" s="29">
        <v>705</v>
      </c>
      <c r="O48" s="29">
        <v>723</v>
      </c>
      <c r="P48" s="29">
        <v>736</v>
      </c>
      <c r="Q48" s="29">
        <v>750</v>
      </c>
      <c r="R48" s="19"/>
      <c r="S48" s="133">
        <v>768</v>
      </c>
      <c r="T48" s="29">
        <v>782</v>
      </c>
      <c r="U48" s="29">
        <v>802</v>
      </c>
      <c r="V48" s="29">
        <v>817.4</v>
      </c>
      <c r="W48" s="19"/>
      <c r="X48" s="29">
        <v>851</v>
      </c>
      <c r="Y48" s="29">
        <f t="shared" ref="Y48" si="101">T48*(1+Y49)</f>
        <v>875.84</v>
      </c>
      <c r="Z48" s="29">
        <f t="shared" ref="Z48" si="102">U48*(1+Z49)</f>
        <v>875.70650602355067</v>
      </c>
      <c r="AA48" s="29">
        <f t="shared" ref="AA48" si="103">V48*(1+AA49)</f>
        <v>892.97740835031709</v>
      </c>
      <c r="AB48" s="19"/>
      <c r="AC48" s="29">
        <f>X48*(1+AC49)</f>
        <v>938.74597815755203</v>
      </c>
      <c r="AD48" s="29">
        <f t="shared" ref="AD48" si="104">Y48*(1+AD49)</f>
        <v>965.06036930989592</v>
      </c>
      <c r="AE48" s="29">
        <f t="shared" ref="AE48" si="105">Z48*(1+AE49)</f>
        <v>960.94377396752964</v>
      </c>
      <c r="AF48" s="29">
        <f t="shared" ref="AF48" si="106">AA48*(1+AF49)</f>
        <v>981.10842242268438</v>
      </c>
      <c r="AG48" s="19"/>
    </row>
    <row r="49" spans="1:33" outlineLevel="1" x14ac:dyDescent="0.3">
      <c r="A49" s="138"/>
      <c r="B49" s="47" t="s">
        <v>85</v>
      </c>
      <c r="C49" s="94"/>
      <c r="D49" s="29"/>
      <c r="E49" s="29"/>
      <c r="F49" s="29"/>
      <c r="G49" s="29"/>
      <c r="H49" s="19"/>
      <c r="I49" s="55">
        <f>+I48/D48-1</f>
        <v>0.18574108818011248</v>
      </c>
      <c r="J49" s="55">
        <f>+J48/E48-1</f>
        <v>0.17625899280575541</v>
      </c>
      <c r="K49" s="55">
        <f>+K48/F48-1</f>
        <v>0.14991482112436105</v>
      </c>
      <c r="L49" s="55">
        <f>+L48/G48-1</f>
        <v>0.14116094986807393</v>
      </c>
      <c r="M49" s="19"/>
      <c r="N49" s="55">
        <f>+N48/I48-1</f>
        <v>0.115506329113924</v>
      </c>
      <c r="O49" s="55">
        <f>+O48/J48-1</f>
        <v>0.10550458715596323</v>
      </c>
      <c r="P49" s="55">
        <f>+P48/K48-1</f>
        <v>9.0370370370370434E-2</v>
      </c>
      <c r="Q49" s="55">
        <f>+Q48/L48-1</f>
        <v>8.381502890173409E-2</v>
      </c>
      <c r="R49" s="19"/>
      <c r="S49" s="140">
        <f>+S48/N48-1</f>
        <v>8.9361702127659592E-2</v>
      </c>
      <c r="T49" s="55">
        <f>+T48/O48-1</f>
        <v>8.1604426002766184E-2</v>
      </c>
      <c r="U49" s="55">
        <f>+U48/P48-1</f>
        <v>8.9673913043478271E-2</v>
      </c>
      <c r="V49" s="55">
        <f>+V48/Q48-1</f>
        <v>8.9866666666666539E-2</v>
      </c>
      <c r="W49" s="19"/>
      <c r="X49" s="140">
        <f>+X48/S48-1</f>
        <v>0.10807291666666674</v>
      </c>
      <c r="Y49" s="59">
        <v>0.12</v>
      </c>
      <c r="Z49" s="59">
        <f>AVERAGE(U49,V49,X49,Y49)-1%</f>
        <v>9.1903374094202891E-2</v>
      </c>
      <c r="AA49" s="59">
        <f>AVERAGE(V49,X49,Y49,Z49)-1%</f>
        <v>9.246073935688405E-2</v>
      </c>
      <c r="AB49" s="19"/>
      <c r="AC49" s="59">
        <f>AVERAGE(X49,Y49,Z49,AA49)</f>
        <v>0.10310925752943842</v>
      </c>
      <c r="AD49" s="59">
        <f>AVERAGE(Y49,Z49,AA49,AC49)</f>
        <v>0.10186834274513135</v>
      </c>
      <c r="AE49" s="59">
        <f>AVERAGE(Z49,AA49,AC49,AD49)</f>
        <v>9.7335428431414184E-2</v>
      </c>
      <c r="AF49" s="59">
        <f>AVERAGE(AA49,AC49,AD49,AE49)</f>
        <v>9.8693442015717003E-2</v>
      </c>
      <c r="AG49" s="19"/>
    </row>
    <row r="50" spans="1:33" s="21" customFormat="1" outlineLevel="1" x14ac:dyDescent="0.3">
      <c r="A50" s="141"/>
      <c r="B50" s="78" t="s">
        <v>81</v>
      </c>
      <c r="C50" s="36"/>
      <c r="D50" s="40">
        <f>+D42+D44+D46+D48</f>
        <v>1654</v>
      </c>
      <c r="E50" s="40">
        <f t="shared" ref="E50:G50" si="107">+E42+E44+E46+E48</f>
        <v>1712</v>
      </c>
      <c r="F50" s="40">
        <f t="shared" si="107"/>
        <v>1787</v>
      </c>
      <c r="G50" s="40">
        <f t="shared" si="107"/>
        <v>1859.8000000000002</v>
      </c>
      <c r="H50" s="95"/>
      <c r="I50" s="40">
        <f>+I42+I44+I46+I48</f>
        <v>1936</v>
      </c>
      <c r="J50" s="40">
        <f t="shared" ref="J50:L50" si="108">+J42+J44+J46+J48</f>
        <v>2006</v>
      </c>
      <c r="K50" s="40">
        <f t="shared" si="108"/>
        <v>2072</v>
      </c>
      <c r="L50" s="40">
        <f t="shared" si="108"/>
        <v>2129</v>
      </c>
      <c r="M50" s="95"/>
      <c r="N50" s="40">
        <f>+N42+N44+N46+N48</f>
        <v>2196</v>
      </c>
      <c r="O50" s="40">
        <f t="shared" ref="O50:Q50" si="109">+O42+O44+O46+O48</f>
        <v>2234</v>
      </c>
      <c r="P50" s="40">
        <f t="shared" si="109"/>
        <v>2270</v>
      </c>
      <c r="Q50" s="40">
        <f t="shared" si="109"/>
        <v>2320</v>
      </c>
      <c r="R50" s="95"/>
      <c r="S50" s="40">
        <f>+S42+S44+S46+S48</f>
        <v>2376</v>
      </c>
      <c r="T50" s="40">
        <f t="shared" ref="T50:V50" si="110">+T42+T44+T46+T48</f>
        <v>2414</v>
      </c>
      <c r="U50" s="40">
        <f t="shared" si="110"/>
        <v>2449</v>
      </c>
      <c r="V50" s="40">
        <f t="shared" si="110"/>
        <v>2497.8000000000002</v>
      </c>
      <c r="W50" s="96"/>
      <c r="X50" s="40">
        <f>+X42+X44+X46+X48</f>
        <v>2603</v>
      </c>
      <c r="Y50" s="40">
        <f t="shared" ref="Y50:AA50" si="111">+Y42+Y44+Y46+Y48</f>
        <v>2667.0800000000004</v>
      </c>
      <c r="Z50" s="40">
        <f t="shared" si="111"/>
        <v>2647.4950531307418</v>
      </c>
      <c r="AA50" s="40">
        <f t="shared" si="111"/>
        <v>2697.279398921487</v>
      </c>
      <c r="AB50" s="95"/>
      <c r="AC50" s="40">
        <f>+AC42+AC44+AC46+AC48</f>
        <v>2839.0306713576824</v>
      </c>
      <c r="AD50" s="40">
        <f t="shared" ref="AD50:AF50" si="112">+AD42+AD44+AD46+AD48</f>
        <v>2905.1617249656747</v>
      </c>
      <c r="AE50" s="40">
        <f t="shared" si="112"/>
        <v>2873.9339881230285</v>
      </c>
      <c r="AF50" s="40">
        <f t="shared" si="112"/>
        <v>2930.9345366695397</v>
      </c>
      <c r="AG50" s="95"/>
    </row>
    <row r="51" spans="1:33" ht="17.399999999999999" x14ac:dyDescent="0.45">
      <c r="A51" s="138"/>
      <c r="B51" s="191" t="s">
        <v>87</v>
      </c>
      <c r="C51" s="192"/>
      <c r="D51" s="27" t="s">
        <v>49</v>
      </c>
      <c r="E51" s="27" t="s">
        <v>50</v>
      </c>
      <c r="F51" s="27" t="s">
        <v>51</v>
      </c>
      <c r="G51" s="27" t="s">
        <v>52</v>
      </c>
      <c r="H51" s="80" t="s">
        <v>53</v>
      </c>
      <c r="I51" s="27" t="s">
        <v>40</v>
      </c>
      <c r="J51" s="27" t="s">
        <v>41</v>
      </c>
      <c r="K51" s="27" t="s">
        <v>42</v>
      </c>
      <c r="L51" s="27" t="s">
        <v>43</v>
      </c>
      <c r="M51" s="80" t="s">
        <v>44</v>
      </c>
      <c r="N51" s="27" t="s">
        <v>31</v>
      </c>
      <c r="O51" s="27" t="s">
        <v>30</v>
      </c>
      <c r="P51" s="27" t="s">
        <v>29</v>
      </c>
      <c r="Q51" s="27" t="s">
        <v>28</v>
      </c>
      <c r="R51" s="80" t="s">
        <v>27</v>
      </c>
      <c r="S51" s="27" t="s">
        <v>141</v>
      </c>
      <c r="T51" s="27" t="s">
        <v>147</v>
      </c>
      <c r="U51" s="27" t="s">
        <v>148</v>
      </c>
      <c r="V51" s="27" t="s">
        <v>149</v>
      </c>
      <c r="W51" s="80" t="s">
        <v>150</v>
      </c>
      <c r="X51" s="27" t="s">
        <v>151</v>
      </c>
      <c r="Y51" s="25" t="s">
        <v>106</v>
      </c>
      <c r="Z51" s="25" t="s">
        <v>107</v>
      </c>
      <c r="AA51" s="25" t="s">
        <v>108</v>
      </c>
      <c r="AB51" s="82" t="s">
        <v>109</v>
      </c>
      <c r="AC51" s="25" t="s">
        <v>110</v>
      </c>
      <c r="AD51" s="25" t="s">
        <v>111</v>
      </c>
      <c r="AE51" s="25" t="s">
        <v>112</v>
      </c>
      <c r="AF51" s="25" t="s">
        <v>113</v>
      </c>
      <c r="AG51" s="82" t="s">
        <v>114</v>
      </c>
    </row>
    <row r="52" spans="1:33" ht="15.6" outlineLevel="1" x14ac:dyDescent="0.3">
      <c r="A52" s="138"/>
      <c r="B52" s="70" t="s">
        <v>116</v>
      </c>
      <c r="C52" s="48"/>
      <c r="D52" s="45">
        <v>12.426303854875284</v>
      </c>
      <c r="E52" s="45">
        <v>14.339285714285714</v>
      </c>
      <c r="F52" s="45">
        <v>15.648351648351648</v>
      </c>
      <c r="G52" s="45">
        <v>19.808695652173913</v>
      </c>
      <c r="H52" s="19"/>
      <c r="I52" s="45">
        <v>17.07</v>
      </c>
      <c r="J52" s="45">
        <v>19.38</v>
      </c>
      <c r="K52" s="45">
        <v>21.2</v>
      </c>
      <c r="L52" s="45">
        <v>26.76</v>
      </c>
      <c r="M52" s="19"/>
      <c r="N52" s="45">
        <v>23.59</v>
      </c>
      <c r="O52" s="45">
        <v>25.91</v>
      </c>
      <c r="P52" s="45">
        <v>27.61</v>
      </c>
      <c r="Q52" s="45">
        <v>34.86</v>
      </c>
      <c r="R52" s="19"/>
      <c r="S52" s="45">
        <v>30.12</v>
      </c>
      <c r="T52" s="45">
        <v>33.270000000000003</v>
      </c>
      <c r="U52" s="45">
        <v>34.549999999999997</v>
      </c>
      <c r="V52" s="45">
        <v>41.41</v>
      </c>
      <c r="W52" s="19"/>
      <c r="X52" s="45">
        <v>34.18</v>
      </c>
      <c r="Y52" s="45">
        <f t="shared" ref="Y52" si="113">T52*(1+Y53)</f>
        <v>34.600800000000007</v>
      </c>
      <c r="Z52" s="45">
        <f t="shared" ref="Z52" si="114">U52*(1+Z53)</f>
        <v>39.041499999999992</v>
      </c>
      <c r="AA52" s="45">
        <f t="shared" ref="AA52" si="115">V52*(1+AA53)</f>
        <v>46.747474626425252</v>
      </c>
      <c r="AB52" s="19"/>
      <c r="AC52" s="45">
        <f>X52*(1+AC53)</f>
        <v>40.9438944144636</v>
      </c>
      <c r="AD52" s="45">
        <f t="shared" ref="AD52" si="116">Y52*(1+AD53)</f>
        <v>42.70175183809296</v>
      </c>
      <c r="AE52" s="45">
        <f t="shared" ref="AE52" si="117">Z52*(1+AE53)</f>
        <v>50.076879749937355</v>
      </c>
      <c r="AF52" s="45">
        <f t="shared" ref="AF52" si="118">AA52*(1+AF53)</f>
        <v>61.745097510306714</v>
      </c>
      <c r="AG52" s="19"/>
    </row>
    <row r="53" spans="1:33" ht="15.6" outlineLevel="1" x14ac:dyDescent="0.3">
      <c r="A53" s="138"/>
      <c r="B53" s="47" t="s">
        <v>142</v>
      </c>
      <c r="C53" s="48"/>
      <c r="D53" s="45"/>
      <c r="E53" s="45"/>
      <c r="F53" s="45"/>
      <c r="G53" s="45"/>
      <c r="H53" s="19"/>
      <c r="I53" s="55">
        <f>+I52/D52-1</f>
        <v>0.373698905109489</v>
      </c>
      <c r="J53" s="55">
        <f t="shared" ref="J53:L53" si="119">+J52/E52-1</f>
        <v>0.35153175591531749</v>
      </c>
      <c r="K53" s="55">
        <f t="shared" si="119"/>
        <v>0.35477528089887644</v>
      </c>
      <c r="L53" s="55">
        <f t="shared" si="119"/>
        <v>0.35092186128182612</v>
      </c>
      <c r="M53" s="19"/>
      <c r="N53" s="55">
        <f>+N52/I52-1</f>
        <v>0.38195664909197413</v>
      </c>
      <c r="O53" s="55">
        <f t="shared" ref="O53" si="120">+O52/J52-1</f>
        <v>0.33694530443756454</v>
      </c>
      <c r="P53" s="55">
        <f t="shared" ref="P53" si="121">+P52/K52-1</f>
        <v>0.3023584905660377</v>
      </c>
      <c r="Q53" s="55">
        <f t="shared" ref="Q53" si="122">+Q52/L52-1</f>
        <v>0.30269058295964113</v>
      </c>
      <c r="R53" s="19"/>
      <c r="S53" s="140">
        <f>+S52/N52-1</f>
        <v>0.27681220856295052</v>
      </c>
      <c r="T53" s="55">
        <f t="shared" ref="T53:V53" si="123">+T52/O52-1</f>
        <v>0.28406020841374002</v>
      </c>
      <c r="U53" s="55">
        <f t="shared" si="123"/>
        <v>0.25135820354943861</v>
      </c>
      <c r="V53" s="55">
        <f t="shared" si="123"/>
        <v>0.18789443488238655</v>
      </c>
      <c r="W53" s="19"/>
      <c r="X53" s="140">
        <f>+X52/S52-1</f>
        <v>0.13479415670650718</v>
      </c>
      <c r="Y53" s="59">
        <v>0.04</v>
      </c>
      <c r="Z53" s="59">
        <v>0.13</v>
      </c>
      <c r="AA53" s="59">
        <f>AVERAGE(V53,X53,Y53,Z53)+0.572122632217421%</f>
        <v>0.12889337421939764</v>
      </c>
      <c r="AB53" s="19"/>
      <c r="AC53" s="59">
        <f>AVERAGE(X53,Y53,Z53,AA53)+8.94685331393137%</f>
        <v>0.19789041587078993</v>
      </c>
      <c r="AD53" s="59">
        <f>AVERAGE(Y53,Z53,AA53,AC53)+10.9930195170482%</f>
        <v>0.23412614269302889</v>
      </c>
      <c r="AE53" s="59">
        <f>AVERAGE(Z53,AA53,AC53,AD53)+10.9930195170482%</f>
        <v>0.28265767836628608</v>
      </c>
      <c r="AF53" s="59">
        <f>AVERAGE(AA53,AC53,AD53,AE53)+10.9930195170482%</f>
        <v>0.32082209795785765</v>
      </c>
      <c r="AG53" s="19"/>
    </row>
    <row r="54" spans="1:33" outlineLevel="1" x14ac:dyDescent="0.3">
      <c r="A54" s="138"/>
      <c r="B54" s="70" t="s">
        <v>118</v>
      </c>
      <c r="C54" s="71"/>
      <c r="D54" s="45">
        <v>3.9847560975609757</v>
      </c>
      <c r="E54" s="45">
        <v>4.7242921013412813</v>
      </c>
      <c r="F54" s="45">
        <v>4.7205882352941178</v>
      </c>
      <c r="G54" s="45">
        <v>5.9768451519536905</v>
      </c>
      <c r="H54" s="19"/>
      <c r="I54" s="45">
        <v>5.42</v>
      </c>
      <c r="J54" s="45">
        <v>6.28</v>
      </c>
      <c r="K54" s="45">
        <v>6.85</v>
      </c>
      <c r="L54" s="45">
        <v>8.86</v>
      </c>
      <c r="M54" s="19"/>
      <c r="N54" s="45">
        <v>8.1199999999999992</v>
      </c>
      <c r="O54" s="45">
        <v>8.76</v>
      </c>
      <c r="P54" s="45">
        <v>8.82</v>
      </c>
      <c r="Q54" s="45">
        <v>10.98</v>
      </c>
      <c r="R54" s="19"/>
      <c r="S54" s="142">
        <v>9.5500000000000007</v>
      </c>
      <c r="T54" s="45">
        <v>10.7</v>
      </c>
      <c r="U54" s="45">
        <v>10.68</v>
      </c>
      <c r="V54" s="45">
        <v>13.21</v>
      </c>
      <c r="W54" s="19"/>
      <c r="X54" s="45">
        <v>10.64</v>
      </c>
      <c r="Y54" s="45">
        <f t="shared" ref="Y54" si="124">T54*(1+Y55)</f>
        <v>11.449</v>
      </c>
      <c r="Z54" s="45">
        <f t="shared" ref="Z54" si="125">U54*(1+Z55)</f>
        <v>12.1752</v>
      </c>
      <c r="AA54" s="45">
        <f t="shared" ref="AA54" si="126">V54*(1+AA55)</f>
        <v>14.8190858755567</v>
      </c>
      <c r="AB54" s="19"/>
      <c r="AC54" s="45">
        <f>X54*(1+AC55)</f>
        <v>12.890211816343852</v>
      </c>
      <c r="AD54" s="45">
        <f t="shared" ref="AD54" si="127">Y54*(1+AD55)</f>
        <v>14.262634740567714</v>
      </c>
      <c r="AE54" s="45">
        <f t="shared" ref="AE54" si="128">Z54*(1+AE55)</f>
        <v>15.702260396777016</v>
      </c>
      <c r="AF54" s="45">
        <f t="shared" ref="AF54" si="129">AA54*(1+AF55)</f>
        <v>19.666634739872631</v>
      </c>
      <c r="AG54" s="19"/>
    </row>
    <row r="55" spans="1:33" outlineLevel="1" x14ac:dyDescent="0.3">
      <c r="A55" s="138"/>
      <c r="B55" s="47" t="s">
        <v>145</v>
      </c>
      <c r="C55" s="71"/>
      <c r="D55" s="45"/>
      <c r="E55" s="45"/>
      <c r="F55" s="45"/>
      <c r="G55" s="45"/>
      <c r="H55" s="19"/>
      <c r="I55" s="55">
        <f>+I54/D54-1</f>
        <v>0.36018362662586068</v>
      </c>
      <c r="J55" s="55">
        <f t="shared" ref="J55" si="130">+J54/E54-1</f>
        <v>0.32929968454258685</v>
      </c>
      <c r="K55" s="55">
        <f t="shared" ref="K55" si="131">+K54/F54-1</f>
        <v>0.45109034267912751</v>
      </c>
      <c r="L55" s="55">
        <f t="shared" ref="L55" si="132">+L54/G54-1</f>
        <v>0.48238740920096834</v>
      </c>
      <c r="M55" s="19"/>
      <c r="N55" s="55">
        <f>+N54/I54-1</f>
        <v>0.49815498154981541</v>
      </c>
      <c r="O55" s="55">
        <f t="shared" ref="O55" si="133">+O54/J54-1</f>
        <v>0.39490445859872603</v>
      </c>
      <c r="P55" s="55">
        <f t="shared" ref="P55" si="134">+P54/K54-1</f>
        <v>0.28759124087591248</v>
      </c>
      <c r="Q55" s="55">
        <f t="shared" ref="Q55" si="135">+Q54/L54-1</f>
        <v>0.23927765237020338</v>
      </c>
      <c r="R55" s="19"/>
      <c r="S55" s="140">
        <f>+S54/N54-1</f>
        <v>0.17610837438423665</v>
      </c>
      <c r="T55" s="55">
        <f t="shared" ref="T55:V55" si="136">+T54/O54-1</f>
        <v>0.22146118721461172</v>
      </c>
      <c r="U55" s="55">
        <f t="shared" si="136"/>
        <v>0.21088435374149661</v>
      </c>
      <c r="V55" s="55">
        <f t="shared" si="136"/>
        <v>0.2030965391621129</v>
      </c>
      <c r="W55" s="19"/>
      <c r="X55" s="140">
        <f>+X54/S54-1</f>
        <v>0.11413612565445019</v>
      </c>
      <c r="Y55" s="59">
        <v>7.0000000000000007E-2</v>
      </c>
      <c r="Z55" s="59">
        <v>0.14000000000000001</v>
      </c>
      <c r="AA55" s="59">
        <f>AVERAGE(V55,X55,Y55,Z55)-1%</f>
        <v>0.12180816620414077</v>
      </c>
      <c r="AB55" s="19"/>
      <c r="AC55" s="59">
        <f>AVERAGE(X55,Y55,Z55,AA55)+10%</f>
        <v>0.21148607296464775</v>
      </c>
      <c r="AD55" s="59">
        <f>AVERAGE(Y55,Z55,AA55,AC55)+10.9930195170482%</f>
        <v>0.24575375496267912</v>
      </c>
      <c r="AE55" s="59">
        <f>AVERAGE(Z55,AA55,AC55,AD55)+10.9930195170482%</f>
        <v>0.28969219370334892</v>
      </c>
      <c r="AF55" s="59">
        <f>AVERAGE(AA55,AC55,AD55,AE55)+10.9930195170482%</f>
        <v>0.32711524212918619</v>
      </c>
      <c r="AG55" s="19"/>
    </row>
    <row r="56" spans="1:33" outlineLevel="1" x14ac:dyDescent="0.3">
      <c r="A56" s="138"/>
      <c r="B56" s="70" t="s">
        <v>88</v>
      </c>
      <c r="C56" s="71"/>
      <c r="D56" s="45">
        <v>1.5587703435804701</v>
      </c>
      <c r="E56" s="45">
        <v>1.770293609671848</v>
      </c>
      <c r="F56" s="45">
        <v>1.8902538902538903</v>
      </c>
      <c r="G56" s="45">
        <v>2.0715601965601964</v>
      </c>
      <c r="H56" s="19"/>
      <c r="I56" s="45">
        <v>1.98</v>
      </c>
      <c r="J56" s="45">
        <v>2.13</v>
      </c>
      <c r="K56" s="45">
        <v>2.27</v>
      </c>
      <c r="L56" s="45">
        <v>2.54</v>
      </c>
      <c r="M56" s="19"/>
      <c r="N56" s="45">
        <v>2.46</v>
      </c>
      <c r="O56" s="45">
        <v>2.62</v>
      </c>
      <c r="P56" s="45">
        <v>2.67</v>
      </c>
      <c r="Q56" s="45">
        <v>2.96</v>
      </c>
      <c r="R56" s="19"/>
      <c r="S56" s="142">
        <v>2.78</v>
      </c>
      <c r="T56" s="45">
        <v>3.04</v>
      </c>
      <c r="U56" s="45">
        <v>3.24</v>
      </c>
      <c r="V56" s="45">
        <v>3.57</v>
      </c>
      <c r="W56" s="19"/>
      <c r="X56" s="45">
        <v>3.06</v>
      </c>
      <c r="Y56" s="45">
        <f t="shared" ref="Y56" si="137">T56*(1+Y57)</f>
        <v>3.2832000000000003</v>
      </c>
      <c r="Z56" s="45">
        <f t="shared" ref="Z56" si="138">U56*(1+Z57)</f>
        <v>3.7907999999999999</v>
      </c>
      <c r="AA56" s="45">
        <f t="shared" ref="AA56" si="139">V56*(1+AA57)</f>
        <v>4.0312444511957999</v>
      </c>
      <c r="AB56" s="19"/>
      <c r="AC56" s="45">
        <f>X56*(1+AC57)</f>
        <v>3.7331384563970449</v>
      </c>
      <c r="AD56" s="45">
        <f t="shared" ref="AD56" si="140">Y56*(1+AD57)</f>
        <v>4.1359297723544053</v>
      </c>
      <c r="AE56" s="45">
        <f t="shared" ref="AE56" si="141">Z56*(1+AE57)</f>
        <v>4.9456918540147869</v>
      </c>
      <c r="AF56" s="45">
        <f t="shared" ref="AF56" si="142">AA56*(1+AF57)</f>
        <v>5.3950975852302303</v>
      </c>
      <c r="AG56" s="19"/>
    </row>
    <row r="57" spans="1:33" outlineLevel="1" x14ac:dyDescent="0.3">
      <c r="A57" s="138"/>
      <c r="B57" s="47" t="s">
        <v>144</v>
      </c>
      <c r="C57" s="71"/>
      <c r="D57" s="45"/>
      <c r="E57" s="45"/>
      <c r="F57" s="45"/>
      <c r="G57" s="45"/>
      <c r="H57" s="19"/>
      <c r="I57" s="55">
        <f>+I56/D56-1</f>
        <v>0.27023201856148504</v>
      </c>
      <c r="J57" s="55">
        <f t="shared" ref="J57" si="143">+J56/E56-1</f>
        <v>0.20319024390243889</v>
      </c>
      <c r="K57" s="55">
        <f t="shared" ref="K57" si="144">+K56/F56-1</f>
        <v>0.20089688041594456</v>
      </c>
      <c r="L57" s="55">
        <f t="shared" ref="L57" si="145">+L56/G56-1</f>
        <v>0.22612898443291329</v>
      </c>
      <c r="M57" s="19"/>
      <c r="N57" s="55">
        <f>+N56/I56-1</f>
        <v>0.24242424242424243</v>
      </c>
      <c r="O57" s="55">
        <f t="shared" ref="O57" si="146">+O56/J56-1</f>
        <v>0.23004694835680772</v>
      </c>
      <c r="P57" s="55">
        <f t="shared" ref="P57" si="147">+P56/K56-1</f>
        <v>0.17621145374449343</v>
      </c>
      <c r="Q57" s="55">
        <f t="shared" ref="Q57" si="148">+Q56/L56-1</f>
        <v>0.16535433070866135</v>
      </c>
      <c r="R57" s="19"/>
      <c r="S57" s="140">
        <f>+S56/N56-1</f>
        <v>0.13008130081300817</v>
      </c>
      <c r="T57" s="55">
        <f t="shared" ref="T57:V57" si="149">+T56/O56-1</f>
        <v>0.16030534351145032</v>
      </c>
      <c r="U57" s="55">
        <f t="shared" si="149"/>
        <v>0.21348314606741581</v>
      </c>
      <c r="V57" s="55">
        <f t="shared" si="149"/>
        <v>0.20608108108108114</v>
      </c>
      <c r="W57" s="22"/>
      <c r="X57" s="140">
        <f>+X56/S56-1</f>
        <v>0.10071942446043169</v>
      </c>
      <c r="Y57" s="59">
        <v>0.08</v>
      </c>
      <c r="Z57" s="59">
        <v>0.17</v>
      </c>
      <c r="AA57" s="59">
        <f>AVERAGE(V57,X57,Y57,Z57)-1%</f>
        <v>0.1292001263853782</v>
      </c>
      <c r="AB57" s="19"/>
      <c r="AC57" s="59">
        <f>AVERAGE(X57,Y57,Z57,AA57)+10%</f>
        <v>0.21997988771145249</v>
      </c>
      <c r="AD57" s="59">
        <f>AVERAGE(Y57,Z57,AA57,AC57)+10.9930195170482%</f>
        <v>0.25972519869468969</v>
      </c>
      <c r="AE57" s="59">
        <f>AVERAGE(Z57,AA57,AC57,AD57)+10.9930195170482%</f>
        <v>0.30465649836836206</v>
      </c>
      <c r="AF57" s="59">
        <f>AVERAGE(AA57,AC57,AD57,AE57)+10.9930195170482%</f>
        <v>0.33832062296045262</v>
      </c>
      <c r="AG57" s="19"/>
    </row>
    <row r="58" spans="1:33" outlineLevel="1" x14ac:dyDescent="0.3">
      <c r="A58" s="138"/>
      <c r="B58" s="70" t="s">
        <v>89</v>
      </c>
      <c r="C58" s="71"/>
      <c r="D58" s="45">
        <v>0.90786948176583493</v>
      </c>
      <c r="E58" s="45">
        <v>1.1276400367309458</v>
      </c>
      <c r="F58" s="45">
        <v>1.2108486439195101</v>
      </c>
      <c r="G58" s="45">
        <v>1.4060667001843472</v>
      </c>
      <c r="H58" s="19"/>
      <c r="I58" s="45">
        <v>1.27</v>
      </c>
      <c r="J58" s="45">
        <v>1.48</v>
      </c>
      <c r="K58" s="45">
        <v>1.59</v>
      </c>
      <c r="L58" s="45">
        <v>1.86</v>
      </c>
      <c r="M58" s="19"/>
      <c r="N58" s="45">
        <v>1.68</v>
      </c>
      <c r="O58" s="45">
        <v>1.91</v>
      </c>
      <c r="P58" s="45">
        <v>1.82</v>
      </c>
      <c r="Q58" s="45">
        <v>2.11</v>
      </c>
      <c r="R58" s="19"/>
      <c r="S58" s="142">
        <v>1.89</v>
      </c>
      <c r="T58" s="45">
        <v>2.13</v>
      </c>
      <c r="U58" s="45">
        <v>2.2400000000000002</v>
      </c>
      <c r="V58" s="45">
        <v>2.48</v>
      </c>
      <c r="W58" s="19"/>
      <c r="X58" s="45">
        <v>1.99</v>
      </c>
      <c r="Y58" s="45">
        <f t="shared" ref="Y58" si="150">T58*(1+Y59)</f>
        <v>2.2578</v>
      </c>
      <c r="Z58" s="45">
        <f t="shared" ref="Z58" si="151">U58*(1+Z59)</f>
        <v>2.5088000000000004</v>
      </c>
      <c r="AA58" s="45">
        <f t="shared" ref="AA58" si="152">V58*(1+AA59)</f>
        <v>2.7083246119511526</v>
      </c>
      <c r="AB58" s="19"/>
      <c r="AC58" s="45">
        <f>X58*(1+AC59)</f>
        <v>2.3506757732766617</v>
      </c>
      <c r="AD58" s="45">
        <f t="shared" ref="AD58" si="153">Y58*(1+AD59)</f>
        <v>2.7618714967632263</v>
      </c>
      <c r="AE58" s="45">
        <f t="shared" ref="AE58" si="154">Z58*(1+AE59)</f>
        <v>3.171304510696022</v>
      </c>
      <c r="AF58" s="45">
        <f t="shared" ref="AF58" si="155">AA58*(1+AF59)</f>
        <v>3.5210666584333246</v>
      </c>
      <c r="AG58" s="19"/>
    </row>
    <row r="59" spans="1:33" ht="16.2" outlineLevel="1" x14ac:dyDescent="0.45">
      <c r="A59" s="138"/>
      <c r="B59" s="47" t="s">
        <v>143</v>
      </c>
      <c r="C59" s="71"/>
      <c r="D59" s="97"/>
      <c r="E59" s="97"/>
      <c r="F59" s="97"/>
      <c r="G59" s="97"/>
      <c r="H59" s="98"/>
      <c r="I59" s="55">
        <f>+I58/D58-1</f>
        <v>0.39887949260042288</v>
      </c>
      <c r="J59" s="55">
        <f t="shared" ref="J59" si="156">+J58/E58-1</f>
        <v>0.3124755700325732</v>
      </c>
      <c r="K59" s="55">
        <f t="shared" ref="K59" si="157">+K58/F58-1</f>
        <v>0.31312861271676296</v>
      </c>
      <c r="L59" s="55">
        <f t="shared" ref="L59" si="158">+L58/G58-1</f>
        <v>0.32283909415971412</v>
      </c>
      <c r="M59" s="98"/>
      <c r="N59" s="55">
        <f>+N58/I58-1</f>
        <v>0.32283464566929121</v>
      </c>
      <c r="O59" s="55">
        <f t="shared" ref="O59" si="159">+O58/J58-1</f>
        <v>0.29054054054054057</v>
      </c>
      <c r="P59" s="55">
        <f t="shared" ref="P59" si="160">+P58/K58-1</f>
        <v>0.14465408805031443</v>
      </c>
      <c r="Q59" s="55">
        <f t="shared" ref="Q59" si="161">+Q58/L58-1</f>
        <v>0.13440860215053752</v>
      </c>
      <c r="R59" s="98"/>
      <c r="S59" s="140">
        <f>+S58/N58-1</f>
        <v>0.125</v>
      </c>
      <c r="T59" s="55">
        <f t="shared" ref="T59:V59" si="162">+T58/O58-1</f>
        <v>0.11518324607329844</v>
      </c>
      <c r="U59" s="55">
        <f t="shared" si="162"/>
        <v>0.23076923076923084</v>
      </c>
      <c r="V59" s="55">
        <f t="shared" si="162"/>
        <v>0.17535545023696697</v>
      </c>
      <c r="W59" s="98"/>
      <c r="X59" s="140">
        <f>+X58/S58-1</f>
        <v>5.2910052910053018E-2</v>
      </c>
      <c r="Y59" s="59">
        <v>0.06</v>
      </c>
      <c r="Z59" s="59">
        <v>0.12</v>
      </c>
      <c r="AA59" s="59">
        <f>AVERAGE(V59,X59,Y59,Z59)-1%</f>
        <v>9.2066375786755E-2</v>
      </c>
      <c r="AB59" s="19"/>
      <c r="AC59" s="59">
        <f>AVERAGE(X59,Y59,Z59,AA59)+10%</f>
        <v>0.181244107174202</v>
      </c>
      <c r="AD59" s="59">
        <f>AVERAGE(Y59,Z59,AA59,AC59)+10.9930195170482%</f>
        <v>0.22325781591072125</v>
      </c>
      <c r="AE59" s="59">
        <f>AVERAGE(Z59,AA59,AC59,AD59)+10.9930195170482%</f>
        <v>0.2640722698884016</v>
      </c>
      <c r="AF59" s="59">
        <f>AVERAGE(AA59,AC59,AD59,AE59)+10.9930195170482%</f>
        <v>0.30009033736050195</v>
      </c>
      <c r="AG59" s="19"/>
    </row>
    <row r="60" spans="1:33" outlineLevel="1" x14ac:dyDescent="0.3">
      <c r="A60" s="138"/>
      <c r="B60" s="78" t="s">
        <v>90</v>
      </c>
      <c r="C60" s="71"/>
      <c r="D60" s="43"/>
      <c r="E60" s="43">
        <f>+E40/((D50+E50)/2)</f>
        <v>3.8241235888294711</v>
      </c>
      <c r="F60" s="43">
        <f t="shared" ref="F60:G60" si="163">+F40/((E50+F50)/2)</f>
        <v>4.007430694484138</v>
      </c>
      <c r="G60" s="43">
        <f t="shared" si="163"/>
        <v>4.831084786662279</v>
      </c>
      <c r="H60" s="19"/>
      <c r="I60" s="43">
        <f>+I40/((G50+I50)/2)</f>
        <v>4.2320459455187311</v>
      </c>
      <c r="J60" s="43">
        <f>+J40/((I50+J50)/2)</f>
        <v>4.7290715372907153</v>
      </c>
      <c r="K60" s="43">
        <f t="shared" ref="K60:L60" si="164">+K40/((J50+K50)/2)</f>
        <v>5.0652280529671412</v>
      </c>
      <c r="L60" s="43">
        <f t="shared" si="164"/>
        <v>6.1756724589383483</v>
      </c>
      <c r="M60" s="19"/>
      <c r="N60" s="43">
        <f>+N40/((L50+N50)/2)</f>
        <v>5.5334104046242771</v>
      </c>
      <c r="O60" s="43">
        <f>+O40/((N50+O50)/2)</f>
        <v>5.9733634311512418</v>
      </c>
      <c r="P60" s="43">
        <f t="shared" ref="P60:Q60" si="165">+P40/((O50+P50)/2)</f>
        <v>6.0954706927175843</v>
      </c>
      <c r="Q60" s="43">
        <f t="shared" si="165"/>
        <v>7.3699346405228754</v>
      </c>
      <c r="R60" s="19"/>
      <c r="S60" s="136">
        <f>+S40/((Q50+S50)/2)</f>
        <v>6.4212095400340718</v>
      </c>
      <c r="T60" s="43">
        <f>+T40/((S50+T50)/2)</f>
        <v>7.0505219206680581</v>
      </c>
      <c r="U60" s="43">
        <f t="shared" ref="U60:V60" si="166">+U40/((T50+U50)/2)</f>
        <v>7.2597162245527453</v>
      </c>
      <c r="V60" s="43">
        <f t="shared" si="166"/>
        <v>8.5234899328859051</v>
      </c>
      <c r="W60" s="19"/>
      <c r="X60" s="43">
        <f>+X40/((V50+X50)/2)</f>
        <v>6.954595357590966</v>
      </c>
      <c r="Y60" s="43">
        <f>+Y40/((X50+Y50)/2)</f>
        <v>7.2985272948418256</v>
      </c>
      <c r="Z60" s="43">
        <f t="shared" ref="Z60:AA60" si="167">+Z40/((Y50+Z50)/2)</f>
        <v>8.1364392014061178</v>
      </c>
      <c r="AA60" s="43">
        <f t="shared" si="167"/>
        <v>9.3685950931230888</v>
      </c>
      <c r="AB60" s="19"/>
      <c r="AC60" s="43">
        <f>+AC40/((AA50+AC50)/2)</f>
        <v>8.1906179253577882</v>
      </c>
      <c r="AD60" s="43">
        <f>+AD40/((AC50+AD50)/2)</f>
        <v>8.8802124799722328</v>
      </c>
      <c r="AE60" s="43">
        <f t="shared" ref="AE60:AF60" si="168">+AE40/((AD50+AE50)/2)</f>
        <v>10.270918671883374</v>
      </c>
      <c r="AF60" s="43">
        <f t="shared" si="168"/>
        <v>12.139924671725838</v>
      </c>
      <c r="AG60" s="19"/>
    </row>
    <row r="61" spans="1:33" ht="17.399999999999999" x14ac:dyDescent="0.45">
      <c r="A61" s="138"/>
      <c r="B61" s="191" t="s">
        <v>26</v>
      </c>
      <c r="C61" s="192"/>
      <c r="D61" s="27" t="s">
        <v>49</v>
      </c>
      <c r="E61" s="27" t="s">
        <v>50</v>
      </c>
      <c r="F61" s="27" t="s">
        <v>51</v>
      </c>
      <c r="G61" s="27" t="s">
        <v>52</v>
      </c>
      <c r="H61" s="80" t="s">
        <v>53</v>
      </c>
      <c r="I61" s="27" t="s">
        <v>40</v>
      </c>
      <c r="J61" s="27" t="s">
        <v>41</v>
      </c>
      <c r="K61" s="27" t="s">
        <v>42</v>
      </c>
      <c r="L61" s="27" t="s">
        <v>43</v>
      </c>
      <c r="M61" s="80" t="s">
        <v>44</v>
      </c>
      <c r="N61" s="27" t="s">
        <v>31</v>
      </c>
      <c r="O61" s="27" t="s">
        <v>30</v>
      </c>
      <c r="P61" s="27" t="s">
        <v>29</v>
      </c>
      <c r="Q61" s="27" t="s">
        <v>28</v>
      </c>
      <c r="R61" s="80" t="s">
        <v>27</v>
      </c>
      <c r="S61" s="27" t="s">
        <v>141</v>
      </c>
      <c r="T61" s="27" t="s">
        <v>147</v>
      </c>
      <c r="U61" s="27" t="s">
        <v>148</v>
      </c>
      <c r="V61" s="27" t="s">
        <v>149</v>
      </c>
      <c r="W61" s="80" t="s">
        <v>150</v>
      </c>
      <c r="X61" s="27" t="s">
        <v>151</v>
      </c>
      <c r="Y61" s="25" t="s">
        <v>106</v>
      </c>
      <c r="Z61" s="25" t="s">
        <v>107</v>
      </c>
      <c r="AA61" s="25" t="s">
        <v>108</v>
      </c>
      <c r="AB61" s="82" t="s">
        <v>109</v>
      </c>
      <c r="AC61" s="25" t="s">
        <v>110</v>
      </c>
      <c r="AD61" s="25" t="s">
        <v>111</v>
      </c>
      <c r="AE61" s="25" t="s">
        <v>112</v>
      </c>
      <c r="AF61" s="25" t="s">
        <v>113</v>
      </c>
      <c r="AG61" s="82" t="s">
        <v>114</v>
      </c>
    </row>
    <row r="62" spans="1:33" s="52" customFormat="1" ht="15.6" customHeight="1" outlineLevel="1" x14ac:dyDescent="0.3">
      <c r="A62" s="143"/>
      <c r="B62" s="70" t="s">
        <v>19</v>
      </c>
      <c r="C62" s="48"/>
      <c r="D62" s="45">
        <f>+D40-D13</f>
        <v>0</v>
      </c>
      <c r="E62" s="45">
        <f t="shared" ref="E62:G62" si="169">+E40-E13</f>
        <v>0</v>
      </c>
      <c r="F62" s="45">
        <f t="shared" si="169"/>
        <v>0</v>
      </c>
      <c r="G62" s="45">
        <f t="shared" si="169"/>
        <v>0</v>
      </c>
      <c r="H62" s="19"/>
      <c r="I62" s="45">
        <f>+I40-I13</f>
        <v>0</v>
      </c>
      <c r="J62" s="45">
        <f t="shared" ref="J62:L62" si="170">+J40-J13</f>
        <v>0</v>
      </c>
      <c r="K62" s="45">
        <f t="shared" si="170"/>
        <v>0</v>
      </c>
      <c r="L62" s="45">
        <f t="shared" si="170"/>
        <v>0</v>
      </c>
      <c r="M62" s="19"/>
      <c r="N62" s="45">
        <f>+N40-N13</f>
        <v>0</v>
      </c>
      <c r="O62" s="45">
        <f t="shared" ref="O62:Q62" si="171">+O40-O13</f>
        <v>0</v>
      </c>
      <c r="P62" s="45">
        <f t="shared" si="171"/>
        <v>0</v>
      </c>
      <c r="Q62" s="45">
        <f t="shared" si="171"/>
        <v>0</v>
      </c>
      <c r="R62" s="19"/>
      <c r="S62" s="45">
        <f>+S40-S13</f>
        <v>0</v>
      </c>
      <c r="T62" s="45">
        <f t="shared" ref="T62:V62" si="172">+T40-T13</f>
        <v>0</v>
      </c>
      <c r="U62" s="45">
        <f t="shared" si="172"/>
        <v>0</v>
      </c>
      <c r="V62" s="45">
        <f t="shared" si="172"/>
        <v>0</v>
      </c>
      <c r="W62" s="19"/>
      <c r="X62" s="45">
        <f>+X40-X13</f>
        <v>0</v>
      </c>
      <c r="Y62" s="45">
        <f t="shared" ref="Y62:AA62" si="173">+Y40-Y13</f>
        <v>0</v>
      </c>
      <c r="Z62" s="45">
        <f t="shared" si="173"/>
        <v>0</v>
      </c>
      <c r="AA62" s="45">
        <f t="shared" si="173"/>
        <v>0</v>
      </c>
      <c r="AB62" s="19"/>
      <c r="AC62" s="45">
        <f>+AC40-AC13</f>
        <v>0</v>
      </c>
      <c r="AD62" s="45">
        <f t="shared" ref="AD62:AF62" si="174">+AD40-AD13</f>
        <v>0</v>
      </c>
      <c r="AE62" s="45">
        <f t="shared" si="174"/>
        <v>0</v>
      </c>
      <c r="AF62" s="45">
        <f t="shared" si="174"/>
        <v>0</v>
      </c>
      <c r="AG62" s="19"/>
    </row>
    <row r="63" spans="1:33" ht="15" customHeight="1" x14ac:dyDescent="0.45">
      <c r="A63" s="138"/>
      <c r="B63" s="191" t="s">
        <v>16</v>
      </c>
      <c r="C63" s="192"/>
      <c r="D63" s="27" t="s">
        <v>49</v>
      </c>
      <c r="E63" s="27" t="s">
        <v>50</v>
      </c>
      <c r="F63" s="27" t="s">
        <v>51</v>
      </c>
      <c r="G63" s="27" t="s">
        <v>52</v>
      </c>
      <c r="H63" s="80" t="s">
        <v>53</v>
      </c>
      <c r="I63" s="27" t="s">
        <v>40</v>
      </c>
      <c r="J63" s="27" t="s">
        <v>41</v>
      </c>
      <c r="K63" s="27" t="s">
        <v>42</v>
      </c>
      <c r="L63" s="27" t="s">
        <v>43</v>
      </c>
      <c r="M63" s="80" t="s">
        <v>44</v>
      </c>
      <c r="N63" s="27" t="s">
        <v>31</v>
      </c>
      <c r="O63" s="27" t="s">
        <v>30</v>
      </c>
      <c r="P63" s="27" t="s">
        <v>29</v>
      </c>
      <c r="Q63" s="27" t="s">
        <v>28</v>
      </c>
      <c r="R63" s="80" t="s">
        <v>27</v>
      </c>
      <c r="S63" s="27" t="s">
        <v>141</v>
      </c>
      <c r="T63" s="27" t="s">
        <v>147</v>
      </c>
      <c r="U63" s="27" t="s">
        <v>148</v>
      </c>
      <c r="V63" s="27" t="s">
        <v>149</v>
      </c>
      <c r="W63" s="80" t="s">
        <v>150</v>
      </c>
      <c r="X63" s="27" t="s">
        <v>151</v>
      </c>
      <c r="Y63" s="25" t="s">
        <v>106</v>
      </c>
      <c r="Z63" s="25" t="s">
        <v>107</v>
      </c>
      <c r="AA63" s="25" t="s">
        <v>108</v>
      </c>
      <c r="AB63" s="82" t="s">
        <v>109</v>
      </c>
      <c r="AC63" s="25" t="s">
        <v>110</v>
      </c>
      <c r="AD63" s="25" t="s">
        <v>111</v>
      </c>
      <c r="AE63" s="25" t="s">
        <v>112</v>
      </c>
      <c r="AF63" s="25" t="s">
        <v>113</v>
      </c>
      <c r="AG63" s="82" t="s">
        <v>114</v>
      </c>
    </row>
    <row r="64" spans="1:33" s="42" customFormat="1" outlineLevel="1" x14ac:dyDescent="0.3">
      <c r="A64" s="145"/>
      <c r="B64" s="199" t="s">
        <v>101</v>
      </c>
      <c r="C64" s="200"/>
      <c r="D64" s="55"/>
      <c r="E64" s="55"/>
      <c r="F64" s="55"/>
      <c r="G64" s="55"/>
      <c r="H64" s="53"/>
      <c r="I64" s="55">
        <f t="shared" ref="I64:AG64" si="175">I13/D13-1</f>
        <v>0.49238201412114457</v>
      </c>
      <c r="J64" s="55">
        <f t="shared" si="175"/>
        <v>0.44825978868862637</v>
      </c>
      <c r="K64" s="55">
        <f t="shared" si="175"/>
        <v>0.47311367850520614</v>
      </c>
      <c r="L64" s="55">
        <f t="shared" si="175"/>
        <v>0.47258485639686687</v>
      </c>
      <c r="M64" s="53">
        <f t="shared" si="175"/>
        <v>0.47090961719371882</v>
      </c>
      <c r="N64" s="55">
        <f t="shared" si="175"/>
        <v>0.48979083665338652</v>
      </c>
      <c r="O64" s="55">
        <f t="shared" si="175"/>
        <v>0.41948288810213485</v>
      </c>
      <c r="P64" s="55">
        <f t="shared" si="175"/>
        <v>0.32910534469403574</v>
      </c>
      <c r="Q64" s="55">
        <f t="shared" si="175"/>
        <v>0.30388529139685483</v>
      </c>
      <c r="R64" s="54">
        <f t="shared" si="175"/>
        <v>0.37352716896661997</v>
      </c>
      <c r="S64" s="55">
        <f t="shared" si="175"/>
        <v>0.25998662878154777</v>
      </c>
      <c r="T64" s="55">
        <f t="shared" si="175"/>
        <v>0.2762451817700855</v>
      </c>
      <c r="U64" s="55">
        <f t="shared" si="175"/>
        <v>0.2859328331026445</v>
      </c>
      <c r="V64" s="55">
        <f t="shared" si="175"/>
        <v>0.2464230814709707</v>
      </c>
      <c r="W64" s="54">
        <f t="shared" si="175"/>
        <v>0.26610910132884413</v>
      </c>
      <c r="X64" s="55">
        <f t="shared" si="175"/>
        <v>0.17642767128739134</v>
      </c>
      <c r="Y64" s="55">
        <f t="shared" si="175"/>
        <v>0.13892641022148533</v>
      </c>
      <c r="Z64" s="55">
        <f t="shared" si="175"/>
        <v>0.22483902110548293</v>
      </c>
      <c r="AA64" s="55">
        <f t="shared" si="175"/>
        <v>0.18757773705877412</v>
      </c>
      <c r="AB64" s="53">
        <f t="shared" si="175"/>
        <v>0.18288305891660284</v>
      </c>
      <c r="AC64" s="55">
        <f t="shared" si="175"/>
        <v>0.27828270006109834</v>
      </c>
      <c r="AD64" s="55">
        <f t="shared" si="175"/>
        <v>0.32617211161156345</v>
      </c>
      <c r="AE64" s="55">
        <f t="shared" si="175"/>
        <v>0.37267033913517156</v>
      </c>
      <c r="AF64" s="55">
        <f t="shared" si="175"/>
        <v>0.40735781017551909</v>
      </c>
      <c r="AG64" s="53">
        <f t="shared" si="175"/>
        <v>0.35234240009733364</v>
      </c>
    </row>
    <row r="65" spans="1:33" s="42" customFormat="1" outlineLevel="1" x14ac:dyDescent="0.3">
      <c r="A65" s="145"/>
      <c r="B65" s="199" t="s">
        <v>102</v>
      </c>
      <c r="C65" s="200"/>
      <c r="D65" s="55"/>
      <c r="E65" s="55">
        <f>+E13/D13-1</f>
        <v>0.19583797844667417</v>
      </c>
      <c r="F65" s="55">
        <f t="shared" ref="F65:L65" si="176">+F13/E13-1</f>
        <v>8.9341205717837102E-2</v>
      </c>
      <c r="G65" s="55">
        <f t="shared" si="176"/>
        <v>0.25645414348880324</v>
      </c>
      <c r="H65" s="53"/>
      <c r="I65" s="55">
        <f>+I13/G13-1</f>
        <v>-8.8205244636167524E-2</v>
      </c>
      <c r="J65" s="55">
        <f t="shared" si="176"/>
        <v>0.16048306772908361</v>
      </c>
      <c r="K65" s="55">
        <f t="shared" si="176"/>
        <v>0.10803561849586951</v>
      </c>
      <c r="L65" s="55">
        <f t="shared" si="176"/>
        <v>0.25600309837335389</v>
      </c>
      <c r="M65" s="53"/>
      <c r="N65" s="55">
        <f>+N13/L13-1</f>
        <v>-7.755164970706141E-2</v>
      </c>
      <c r="O65" s="55">
        <f t="shared" ref="O65:Q65" si="177">+O13/N13-1</f>
        <v>0.10571619588835035</v>
      </c>
      <c r="P65" s="55">
        <f t="shared" si="177"/>
        <v>3.7487718237472656E-2</v>
      </c>
      <c r="Q65" s="55">
        <f t="shared" si="177"/>
        <v>0.23217017556640207</v>
      </c>
      <c r="R65" s="54"/>
      <c r="S65" s="55">
        <f>+S13/Q13-1</f>
        <v>-0.10860825351779591</v>
      </c>
      <c r="T65" s="55">
        <f t="shared" ref="T65:V65" si="178">+T13/S13-1</f>
        <v>0.11998408171386887</v>
      </c>
      <c r="U65" s="55">
        <f t="shared" si="178"/>
        <v>4.536302262229075E-2</v>
      </c>
      <c r="V65" s="55">
        <f t="shared" si="178"/>
        <v>0.19431225923408113</v>
      </c>
      <c r="W65" s="54"/>
      <c r="X65" s="55">
        <f>+X13/V13-1</f>
        <v>-0.15866616070581541</v>
      </c>
      <c r="Y65" s="55">
        <f t="shared" ref="Y65:AA65" si="179">+Y13/X13-1</f>
        <v>8.4282086203980588E-2</v>
      </c>
      <c r="Z65" s="55">
        <f t="shared" si="179"/>
        <v>0.12421786854477923</v>
      </c>
      <c r="AA65" s="55">
        <f t="shared" si="179"/>
        <v>0.15797964117981422</v>
      </c>
      <c r="AB65" s="53"/>
      <c r="AC65" s="55">
        <f>+AC13/AA13-1</f>
        <v>-9.4406658035460445E-2</v>
      </c>
      <c r="AD65" s="55">
        <f t="shared" ref="AD65:AF65" si="180">+AD13/AC13-1</f>
        <v>0.12490348478861102</v>
      </c>
      <c r="AE65" s="55">
        <f t="shared" si="180"/>
        <v>0.16363517929954807</v>
      </c>
      <c r="AF65" s="55">
        <f t="shared" si="180"/>
        <v>0.18724186396088194</v>
      </c>
      <c r="AG65" s="53"/>
    </row>
    <row r="66" spans="1:33" s="42" customFormat="1" outlineLevel="1" x14ac:dyDescent="0.3">
      <c r="A66" s="145"/>
      <c r="B66" s="70" t="s">
        <v>105</v>
      </c>
      <c r="C66" s="71"/>
      <c r="D66" s="55"/>
      <c r="E66" s="55"/>
      <c r="F66" s="55"/>
      <c r="G66" s="55"/>
      <c r="H66" s="53"/>
      <c r="I66" s="55"/>
      <c r="J66" s="55"/>
      <c r="K66" s="55"/>
      <c r="L66" s="55"/>
      <c r="M66" s="53"/>
      <c r="N66" s="112">
        <f>+N84+N13</f>
        <v>11430</v>
      </c>
      <c r="O66" s="112">
        <f>+O84+O13</f>
        <v>12858</v>
      </c>
      <c r="P66" s="112">
        <f>+P84+P13</f>
        <v>13886</v>
      </c>
      <c r="Q66" s="112">
        <f>+Q84+Q13</f>
        <v>17262</v>
      </c>
      <c r="R66" s="54"/>
      <c r="S66" s="29">
        <f>+S84+S13</f>
        <v>15580</v>
      </c>
      <c r="T66" s="29">
        <f>+T84+T13</f>
        <v>17460</v>
      </c>
      <c r="U66" s="29">
        <f>+U84+U13</f>
        <v>17949</v>
      </c>
      <c r="V66" s="29">
        <f>+V84+V13</f>
        <v>21377</v>
      </c>
      <c r="W66" s="30">
        <f>SUM(S66:V66)</f>
        <v>72366</v>
      </c>
      <c r="X66" s="29">
        <f>+X84+X13</f>
        <v>18012</v>
      </c>
      <c r="Y66" s="29">
        <f>+Y84+Y13</f>
        <v>19506.911363000003</v>
      </c>
      <c r="Z66" s="29">
        <f>+Z84+Z13</f>
        <v>21770.858400553985</v>
      </c>
      <c r="AA66" s="29">
        <f>+AA84+AA13</f>
        <v>25136.513852673077</v>
      </c>
      <c r="AB66" s="30">
        <f>SUM(X66:AA66)</f>
        <v>84426.283616227069</v>
      </c>
      <c r="AC66" s="29">
        <f>+AC84+AC13</f>
        <v>22722.900250983701</v>
      </c>
      <c r="AD66" s="29">
        <f>+AD84+AD13</f>
        <v>25554.824502596137</v>
      </c>
      <c r="AE66" s="29">
        <f>+AE84+AE13</f>
        <v>29728.311033081962</v>
      </c>
      <c r="AF66" s="29">
        <f>+AF84+AF13</f>
        <v>35285.333310127033</v>
      </c>
      <c r="AG66" s="30">
        <f>SUM(AC66:AF66)</f>
        <v>113291.36909678884</v>
      </c>
    </row>
    <row r="67" spans="1:33" s="42" customFormat="1" outlineLevel="1" x14ac:dyDescent="0.3">
      <c r="A67" s="145"/>
      <c r="B67" s="199" t="s">
        <v>103</v>
      </c>
      <c r="C67" s="200"/>
      <c r="D67" s="55"/>
      <c r="E67" s="55"/>
      <c r="F67" s="55"/>
      <c r="G67" s="55"/>
      <c r="H67" s="53"/>
      <c r="I67" s="55"/>
      <c r="J67" s="55"/>
      <c r="K67" s="55"/>
      <c r="L67" s="55"/>
      <c r="M67" s="53"/>
      <c r="N67" s="55"/>
      <c r="O67" s="55"/>
      <c r="P67" s="55"/>
      <c r="Q67" s="55"/>
      <c r="R67" s="54">
        <f>+(R13+R84)/(M13+M84)-1</f>
        <v>0.36366319828794924</v>
      </c>
      <c r="S67" s="55">
        <f>+S66/N13-1</f>
        <v>0.30202239679090748</v>
      </c>
      <c r="T67" s="55">
        <f t="shared" ref="T67:V67" si="181">+T66/O13-1</f>
        <v>0.31962814602070888</v>
      </c>
      <c r="U67" s="55">
        <f t="shared" si="181"/>
        <v>0.30756902455015656</v>
      </c>
      <c r="V67" s="55">
        <f t="shared" si="181"/>
        <v>0.26386425446375794</v>
      </c>
      <c r="W67" s="147">
        <f>+W66/R13-1</f>
        <v>0.29599914037035702</v>
      </c>
      <c r="X67" s="55">
        <f>+X66/S13-1</f>
        <v>0.19466737414605029</v>
      </c>
      <c r="Y67" s="55">
        <f t="shared" ref="Y67" si="182">+Y66/T13-1</f>
        <v>0.15521209066682484</v>
      </c>
      <c r="Z67" s="55">
        <f t="shared" ref="Z67" si="183">+Z66/U13-1</f>
        <v>0.23333664177169644</v>
      </c>
      <c r="AA67" s="55">
        <f t="shared" ref="AA67" si="184">+AA66/V13-1</f>
        <v>0.19232112003951607</v>
      </c>
      <c r="AB67" s="147">
        <f>+AB66/W13-1</f>
        <v>0.19419895633799267</v>
      </c>
      <c r="AC67" s="55">
        <f>+AC66/X13-1</f>
        <v>0.28110166606436837</v>
      </c>
      <c r="AD67" s="55">
        <f t="shared" ref="AD67" si="185">+AD66/Y13-1</f>
        <v>0.32877195720445629</v>
      </c>
      <c r="AE67" s="55">
        <f t="shared" ref="AE67" si="186">+AE66/Z13-1</f>
        <v>0.37498292076693129</v>
      </c>
      <c r="AF67" s="55">
        <f t="shared" ref="AF67" si="187">+AF66/AA13-1</f>
        <v>0.40935489332751973</v>
      </c>
      <c r="AG67" s="147">
        <f>+AG66/AB13-1</f>
        <v>0.35473399268463335</v>
      </c>
    </row>
    <row r="68" spans="1:33" s="42" customFormat="1" outlineLevel="1" x14ac:dyDescent="0.3">
      <c r="A68" s="145"/>
      <c r="B68" s="199" t="s">
        <v>104</v>
      </c>
      <c r="C68" s="200"/>
      <c r="D68" s="55"/>
      <c r="E68" s="55"/>
      <c r="F68" s="55"/>
      <c r="G68" s="55"/>
      <c r="H68" s="53"/>
      <c r="I68" s="55"/>
      <c r="J68" s="55"/>
      <c r="K68" s="55"/>
      <c r="L68" s="55"/>
      <c r="M68" s="53"/>
      <c r="N68" s="55"/>
      <c r="O68" s="55"/>
      <c r="P68" s="55"/>
      <c r="Q68" s="55"/>
      <c r="R68" s="54"/>
      <c r="S68" s="55">
        <f>+S66/Q66-1</f>
        <v>-9.7439462402966082E-2</v>
      </c>
      <c r="T68" s="55">
        <f>+T66/S66-1</f>
        <v>0.12066752246469825</v>
      </c>
      <c r="U68" s="55">
        <f t="shared" ref="U68:V68" si="188">+U66/T66-1</f>
        <v>2.8006872852233577E-2</v>
      </c>
      <c r="V68" s="55">
        <f t="shared" si="188"/>
        <v>0.19098557022675355</v>
      </c>
      <c r="W68" s="147"/>
      <c r="X68" s="55"/>
      <c r="Y68" s="55"/>
      <c r="Z68" s="55"/>
      <c r="AA68" s="55"/>
      <c r="AB68" s="53"/>
      <c r="AC68" s="55"/>
      <c r="AD68" s="55"/>
      <c r="AE68" s="55"/>
      <c r="AF68" s="55"/>
      <c r="AG68" s="53"/>
    </row>
    <row r="69" spans="1:33" s="42" customFormat="1" outlineLevel="1" x14ac:dyDescent="0.3">
      <c r="A69" s="145"/>
      <c r="B69" s="70" t="s">
        <v>91</v>
      </c>
      <c r="C69" s="71"/>
      <c r="D69" s="55">
        <f t="shared" ref="D69:R69" si="189">+D15/D13</f>
        <v>0.84429580081753997</v>
      </c>
      <c r="E69" s="55">
        <f t="shared" si="189"/>
        <v>0.8576755748912368</v>
      </c>
      <c r="F69" s="55">
        <f t="shared" si="189"/>
        <v>0.85922122379118526</v>
      </c>
      <c r="G69" s="55">
        <f t="shared" si="189"/>
        <v>0.88103076399137248</v>
      </c>
      <c r="H69" s="53">
        <f t="shared" si="189"/>
        <v>0.86290614371517471</v>
      </c>
      <c r="I69" s="55">
        <f t="shared" si="189"/>
        <v>0.85570219123505975</v>
      </c>
      <c r="J69" s="55">
        <f t="shared" si="189"/>
        <v>0.86728891749812254</v>
      </c>
      <c r="K69" s="55">
        <f t="shared" si="189"/>
        <v>0.85979860573199074</v>
      </c>
      <c r="L69" s="55">
        <f t="shared" si="189"/>
        <v>0.87580943570767811</v>
      </c>
      <c r="M69" s="53">
        <f t="shared" si="189"/>
        <v>0.86581556096721024</v>
      </c>
      <c r="N69" s="55">
        <f t="shared" si="189"/>
        <v>0.8389603877653351</v>
      </c>
      <c r="O69" s="55">
        <f t="shared" si="189"/>
        <v>0.83266570931902351</v>
      </c>
      <c r="P69" s="55">
        <f t="shared" si="189"/>
        <v>0.82385080498288044</v>
      </c>
      <c r="Q69" s="55">
        <f t="shared" si="189"/>
        <v>0.83469315360056762</v>
      </c>
      <c r="R69" s="54">
        <f t="shared" si="189"/>
        <v>0.8324617643898421</v>
      </c>
      <c r="S69" s="144">
        <f>+S15/S13</f>
        <v>0.81322544272733299</v>
      </c>
      <c r="T69" s="55">
        <f t="shared" ref="T69:U69" si="190">+T15/T13</f>
        <v>0.80415729006277392</v>
      </c>
      <c r="U69" s="55">
        <f t="shared" si="190"/>
        <v>0.82126671198731027</v>
      </c>
      <c r="V69" s="55">
        <f t="shared" ref="V69" si="191">+V15/V13</f>
        <v>0.83436106631249407</v>
      </c>
      <c r="W69" s="147">
        <f>+W15/W13</f>
        <v>0.81936998741106415</v>
      </c>
      <c r="X69" s="144">
        <f>+X15/X13</f>
        <v>0.80498393189378137</v>
      </c>
      <c r="Y69" s="60">
        <v>0.80500000000000005</v>
      </c>
      <c r="Z69" s="60">
        <v>0.8075</v>
      </c>
      <c r="AA69" s="60">
        <v>0.81</v>
      </c>
      <c r="AB69" s="54">
        <f>+AB15/AB13</f>
        <v>0.80713987406263288</v>
      </c>
      <c r="AC69" s="60">
        <v>0.80500000000000005</v>
      </c>
      <c r="AD69" s="60">
        <v>0.81499999999999995</v>
      </c>
      <c r="AE69" s="60">
        <v>0.81499999999999995</v>
      </c>
      <c r="AF69" s="60">
        <v>0.81499999999999995</v>
      </c>
      <c r="AG69" s="54">
        <f>+AG15/AG13</f>
        <v>0.81299516970816932</v>
      </c>
    </row>
    <row r="70" spans="1:33" s="42" customFormat="1" outlineLevel="1" x14ac:dyDescent="0.3">
      <c r="A70" s="145"/>
      <c r="B70" s="70" t="s">
        <v>92</v>
      </c>
      <c r="C70" s="71"/>
      <c r="D70" s="55">
        <f t="shared" ref="D70:R70" si="192">+D17/D13</f>
        <v>0.24953548866592346</v>
      </c>
      <c r="E70" s="55">
        <f t="shared" si="192"/>
        <v>0.22731510254816656</v>
      </c>
      <c r="F70" s="55">
        <f t="shared" si="192"/>
        <v>0.21951219512195122</v>
      </c>
      <c r="G70" s="55">
        <f t="shared" si="192"/>
        <v>0.17868089453967534</v>
      </c>
      <c r="H70" s="53">
        <f t="shared" si="192"/>
        <v>0.21416166148057023</v>
      </c>
      <c r="I70" s="55">
        <f t="shared" si="192"/>
        <v>0.22833665338645417</v>
      </c>
      <c r="J70" s="55">
        <f t="shared" si="192"/>
        <v>0.20587919751099668</v>
      </c>
      <c r="K70" s="55">
        <f t="shared" si="192"/>
        <v>0.19868319132455461</v>
      </c>
      <c r="L70" s="55">
        <f t="shared" si="192"/>
        <v>0.15024668516805428</v>
      </c>
      <c r="M70" s="53">
        <f t="shared" si="192"/>
        <v>0.19073623102846038</v>
      </c>
      <c r="N70" s="55">
        <f t="shared" si="192"/>
        <v>0.18702991810128697</v>
      </c>
      <c r="O70" s="55">
        <f t="shared" si="192"/>
        <v>0.19068853450230519</v>
      </c>
      <c r="P70" s="55">
        <f t="shared" si="192"/>
        <v>0.19356013695636337</v>
      </c>
      <c r="Q70" s="55">
        <f t="shared" si="192"/>
        <v>0.16879508099798984</v>
      </c>
      <c r="R70" s="54">
        <f t="shared" si="192"/>
        <v>0.18397865253053475</v>
      </c>
      <c r="S70" s="55">
        <f t="shared" ref="S70:T70" si="193">+S17/S13</f>
        <v>0.1896929097300524</v>
      </c>
      <c r="T70" s="55">
        <f t="shared" si="193"/>
        <v>0.19631647518654508</v>
      </c>
      <c r="U70" s="55">
        <f t="shared" ref="U70:V70" si="194">+U17/U13</f>
        <v>0.20099705415816904</v>
      </c>
      <c r="V70" s="55">
        <f t="shared" si="194"/>
        <v>0.1839009581633621</v>
      </c>
      <c r="W70" s="147"/>
      <c r="X70" s="55">
        <f t="shared" ref="X70" si="195">+X17/X13</f>
        <v>0.22636297006258105</v>
      </c>
      <c r="Y70" s="60">
        <v>0.24</v>
      </c>
      <c r="Z70" s="60">
        <v>0.23499999999999999</v>
      </c>
      <c r="AA70" s="60">
        <v>0.22</v>
      </c>
      <c r="AB70" s="54"/>
      <c r="AC70" s="60">
        <v>0.23499999999999999</v>
      </c>
      <c r="AD70" s="60">
        <v>0.22</v>
      </c>
      <c r="AE70" s="60">
        <f t="shared" ref="AE70:AF70" si="196">AD70</f>
        <v>0.22</v>
      </c>
      <c r="AF70" s="60">
        <f t="shared" si="196"/>
        <v>0.22</v>
      </c>
      <c r="AG70" s="54"/>
    </row>
    <row r="71" spans="1:33" s="42" customFormat="1" outlineLevel="1" x14ac:dyDescent="0.3">
      <c r="A71" s="145"/>
      <c r="B71" s="70" t="s">
        <v>93</v>
      </c>
      <c r="C71" s="71"/>
      <c r="D71" s="55">
        <f t="shared" ref="D71:R71" si="197">+D18/D13</f>
        <v>0.15347454477889261</v>
      </c>
      <c r="E71" s="55">
        <f t="shared" si="197"/>
        <v>0.1396830329397141</v>
      </c>
      <c r="F71" s="55">
        <f t="shared" si="197"/>
        <v>0.13193552988161461</v>
      </c>
      <c r="G71" s="55">
        <f t="shared" si="197"/>
        <v>0.12736973549778635</v>
      </c>
      <c r="H71" s="53">
        <f t="shared" si="197"/>
        <v>0.13647876112598595</v>
      </c>
      <c r="I71" s="55">
        <f t="shared" si="197"/>
        <v>0.13159860557768924</v>
      </c>
      <c r="J71" s="55">
        <f t="shared" si="197"/>
        <v>0.12058791975109967</v>
      </c>
      <c r="K71" s="55">
        <f t="shared" si="197"/>
        <v>0.11328427575522851</v>
      </c>
      <c r="L71" s="55">
        <f t="shared" si="197"/>
        <v>0.1059204440333025</v>
      </c>
      <c r="M71" s="53">
        <f t="shared" si="197"/>
        <v>0.1162275846800974</v>
      </c>
      <c r="N71" s="55">
        <f t="shared" si="197"/>
        <v>0.13329433394618084</v>
      </c>
      <c r="O71" s="55">
        <f t="shared" si="197"/>
        <v>0.14020104300506386</v>
      </c>
      <c r="P71" s="55">
        <f t="shared" si="197"/>
        <v>0.14045312158519704</v>
      </c>
      <c r="Q71" s="55">
        <f t="shared" si="197"/>
        <v>0.14585550431595129</v>
      </c>
      <c r="R71" s="54">
        <f t="shared" si="197"/>
        <v>0.14049571976073641</v>
      </c>
      <c r="S71" s="55">
        <f t="shared" ref="S71:T71" si="198">+S18/S13</f>
        <v>0.13397890827087616</v>
      </c>
      <c r="T71" s="55">
        <f t="shared" si="198"/>
        <v>0.14295866398199691</v>
      </c>
      <c r="U71" s="55">
        <f t="shared" ref="U71:V71" si="199">+U18/U13</f>
        <v>0.13686834353047814</v>
      </c>
      <c r="V71" s="55">
        <f t="shared" si="199"/>
        <v>0.14353476899724885</v>
      </c>
      <c r="W71" s="147"/>
      <c r="X71" s="55">
        <f t="shared" ref="X71" si="200">+X18/X13</f>
        <v>0.15712916502226984</v>
      </c>
      <c r="Y71" s="60">
        <v>0.16</v>
      </c>
      <c r="Z71" s="60">
        <v>0.16500000000000001</v>
      </c>
      <c r="AA71" s="60">
        <v>0.15</v>
      </c>
      <c r="AB71" s="165"/>
      <c r="AC71" s="60">
        <v>0.16400000000000001</v>
      </c>
      <c r="AD71" s="60">
        <v>0.16</v>
      </c>
      <c r="AE71" s="60">
        <f t="shared" ref="AE71" si="201">AD71</f>
        <v>0.16</v>
      </c>
      <c r="AF71" s="60">
        <v>0.16</v>
      </c>
      <c r="AG71" s="54"/>
    </row>
    <row r="72" spans="1:33" s="42" customFormat="1" outlineLevel="1" x14ac:dyDescent="0.3">
      <c r="A72" s="145"/>
      <c r="B72" s="70" t="s">
        <v>94</v>
      </c>
      <c r="C72" s="71"/>
      <c r="D72" s="55">
        <f t="shared" ref="D72:R72" si="202">+D19/D13</f>
        <v>6.8004459308807136E-2</v>
      </c>
      <c r="E72" s="55">
        <f t="shared" si="202"/>
        <v>6.401491609695463E-2</v>
      </c>
      <c r="F72" s="55">
        <f t="shared" si="202"/>
        <v>6.2473256311510482E-2</v>
      </c>
      <c r="G72" s="55">
        <f t="shared" si="202"/>
        <v>5.8462935634010671E-2</v>
      </c>
      <c r="H72" s="53">
        <f t="shared" si="202"/>
        <v>6.2631159997105432E-2</v>
      </c>
      <c r="I72" s="55">
        <f t="shared" si="202"/>
        <v>8.1548804780876491E-2</v>
      </c>
      <c r="J72" s="55">
        <f t="shared" si="202"/>
        <v>6.8662160712369913E-2</v>
      </c>
      <c r="K72" s="55">
        <f t="shared" si="202"/>
        <v>5.1897753679318356E-2</v>
      </c>
      <c r="L72" s="55">
        <f t="shared" si="202"/>
        <v>5.2883132901634287E-2</v>
      </c>
      <c r="M72" s="53">
        <f t="shared" si="202"/>
        <v>6.1914249870858237E-2</v>
      </c>
      <c r="N72" s="55">
        <f t="shared" si="202"/>
        <v>6.3262577302356682E-2</v>
      </c>
      <c r="O72" s="55">
        <f t="shared" si="202"/>
        <v>5.865013982314262E-2</v>
      </c>
      <c r="P72" s="55">
        <f t="shared" si="202"/>
        <v>6.8696729074087567E-2</v>
      </c>
      <c r="Q72" s="55">
        <f t="shared" si="202"/>
        <v>5.7703677426983561E-2</v>
      </c>
      <c r="R72" s="54">
        <f t="shared" si="202"/>
        <v>6.1821698484902751E-2</v>
      </c>
      <c r="S72" s="55">
        <f t="shared" ref="S72:T72" si="203">+S19/S13</f>
        <v>0.26954964515487168</v>
      </c>
      <c r="T72" s="55">
        <f t="shared" si="203"/>
        <v>0.19092739547554186</v>
      </c>
      <c r="U72" s="55">
        <f t="shared" ref="U72:V72" si="204">+U19/U13</f>
        <v>7.6365284387038296E-2</v>
      </c>
      <c r="V72" s="55">
        <f t="shared" si="204"/>
        <v>8.675647471776872E-2</v>
      </c>
      <c r="W72" s="147"/>
      <c r="X72" s="55">
        <f t="shared" ref="X72" si="205">+X19/X13</f>
        <v>8.9248463663528219E-2</v>
      </c>
      <c r="Y72" s="60">
        <v>0.11</v>
      </c>
      <c r="Z72" s="60">
        <v>8.8999999999999996E-2</v>
      </c>
      <c r="AA72" s="60">
        <v>7.9000000000000001E-2</v>
      </c>
      <c r="AB72" s="54"/>
      <c r="AC72" s="60">
        <v>0.09</v>
      </c>
      <c r="AD72" s="60">
        <v>0.08</v>
      </c>
      <c r="AE72" s="60">
        <f t="shared" ref="AE72" si="206">AD72</f>
        <v>0.08</v>
      </c>
      <c r="AF72" s="60">
        <v>7.3999999999999996E-2</v>
      </c>
      <c r="AG72" s="54"/>
    </row>
    <row r="73" spans="1:33" s="42" customFormat="1" outlineLevel="1" x14ac:dyDescent="0.3">
      <c r="A73" s="145"/>
      <c r="B73" s="159" t="s">
        <v>11</v>
      </c>
      <c r="C73" s="160"/>
      <c r="D73" s="51"/>
      <c r="E73" s="51"/>
      <c r="F73" s="51"/>
      <c r="G73" s="51"/>
      <c r="H73" s="30">
        <f>H14+H17+H18+H19</f>
        <v>15211</v>
      </c>
      <c r="I73" s="51"/>
      <c r="J73" s="51"/>
      <c r="K73" s="51"/>
      <c r="L73" s="51"/>
      <c r="M73" s="30">
        <f>M14+M17+M18+M19</f>
        <v>20451</v>
      </c>
      <c r="N73" s="51"/>
      <c r="O73" s="51"/>
      <c r="P73" s="51"/>
      <c r="Q73" s="51"/>
      <c r="R73" s="30">
        <f>R14+R17+R18+R19</f>
        <v>30925</v>
      </c>
      <c r="S73" s="51"/>
      <c r="T73" s="51"/>
      <c r="U73" s="51"/>
      <c r="V73" s="51"/>
      <c r="W73" s="30">
        <f>W14+W17+W18+W19</f>
        <v>46711</v>
      </c>
      <c r="X73" s="51"/>
      <c r="Y73" s="51"/>
      <c r="Z73" s="51"/>
      <c r="AA73" s="51"/>
      <c r="AB73" s="109">
        <v>54500</v>
      </c>
      <c r="AC73" s="51"/>
      <c r="AD73" s="51"/>
      <c r="AE73" s="51"/>
      <c r="AF73" s="51"/>
      <c r="AG73" s="30">
        <f>AG14+AG17+AG18+AG19</f>
        <v>73616.76417735641</v>
      </c>
    </row>
    <row r="74" spans="1:33" s="42" customFormat="1" outlineLevel="1" x14ac:dyDescent="0.3">
      <c r="A74" s="145"/>
      <c r="B74" s="70" t="s">
        <v>100</v>
      </c>
      <c r="C74" s="71"/>
      <c r="D74" s="55"/>
      <c r="E74" s="55"/>
      <c r="F74" s="55"/>
      <c r="G74" s="55"/>
      <c r="H74" s="53"/>
      <c r="I74" s="55">
        <f>+(I14+I17+I18+I19)/(G14+G17+G18+G19)-1</f>
        <v>0.10471941770368631</v>
      </c>
      <c r="J74" s="55">
        <f>+(J14+J17+J18+J19)/(H14+H17+H18+H19)-1</f>
        <v>-0.67654986522911054</v>
      </c>
      <c r="K74" s="55">
        <f>+(K14+K17+K18+K19)/(I14+I17+I18+I19)-1</f>
        <v>0.10648246546227425</v>
      </c>
      <c r="L74" s="55">
        <f>+(L14+L17+L18+L19)/(J14+J17+J18+J19)-1</f>
        <v>0.14227642276422769</v>
      </c>
      <c r="M74" s="53">
        <f>+(M14+M17+M18+M19)/(H14+H17+H18+H19)-1</f>
        <v>0.3444875419104596</v>
      </c>
      <c r="N74" s="55">
        <f>+(N14+N17+N18+N19)/(L14+L17+L18+L19)-1</f>
        <v>0.159608540925267</v>
      </c>
      <c r="O74" s="55">
        <f>+(O14+O17+O18+O19)/(M14+M17+M18+M19)-1</f>
        <v>-0.63972421886460318</v>
      </c>
      <c r="P74" s="55">
        <f>+(P14+P17+P18+P19)/(N14+N17+N18+N19)-1</f>
        <v>0.21927267147460494</v>
      </c>
      <c r="Q74" s="55">
        <f>+(Q14+Q17+Q18+Q19)/(O14+O17+O18+O19)-1</f>
        <v>0.23425624321389793</v>
      </c>
      <c r="R74" s="53">
        <f>+(R14+R17+R18+R19)/(M14+M17+M18+M19)-1</f>
        <v>0.5121509950613663</v>
      </c>
      <c r="S74" s="55">
        <f>+(S14+S17+S18+S19)/(Q14+Q17+Q18+Q19)-1</f>
        <v>0.29316032548933357</v>
      </c>
      <c r="T74" s="55">
        <f>+(T14+T17+T18+T19)/(R14+R17+R18+R19)-1</f>
        <v>-0.60355699272433305</v>
      </c>
      <c r="U74" s="55">
        <f>+(U14+U17+U18+U19)/(S14+S17+S18+S19)-1</f>
        <v>-0.10994897959183669</v>
      </c>
      <c r="V74" s="55">
        <f>+(V14+V17+V18+V19)/(T14+T17+T18+T19)-1</f>
        <v>-2.9363784665579207E-3</v>
      </c>
      <c r="W74" s="164">
        <f>+(W14+W17+W18+W19)/(R14+R17+R18+R19)-1</f>
        <v>0.51046079223928853</v>
      </c>
      <c r="X74" s="55">
        <f>+(X14+X17+X18+X19)/(V14+V17+V18+V19)-1</f>
        <v>-3.1086387434554941E-2</v>
      </c>
      <c r="Y74" s="55">
        <f>+(Y14+Y17+Y18+Y19)/(W14+W17+W18+W19)-1</f>
        <v>-0.70973651793121528</v>
      </c>
      <c r="Z74" s="55">
        <f>+(Z14+Z17+Z18+Z19)/(X14+X17+X18+X19)-1</f>
        <v>0.24405732860330476</v>
      </c>
      <c r="AA74" s="55">
        <f>+(AA14+AA17+AA18+AA19)/(Y14+Y17+Y18+Y19)-1</f>
        <v>0.17994876194644371</v>
      </c>
      <c r="AB74" s="53">
        <f>+(AB14+AB17+AB18+AB19)/(W14+W17+W18+W19)-1</f>
        <v>0.20176071723471201</v>
      </c>
      <c r="AC74" s="55">
        <f>+(AC14+AC17+AC18+AC19)/(AA14+AA17+AA18+AA19)-1</f>
        <v>-3.0632479023873227E-2</v>
      </c>
      <c r="AD74" s="55">
        <f>+(AD14+AD17+AD18+AD19)/(AB14+AB17+AB18+AB19)-1</f>
        <v>-0.70694786788639996</v>
      </c>
      <c r="AE74" s="55">
        <f>+(AE14+AE17+AE18+AE19)/(AC14+AC17+AC18+AC19)-1</f>
        <v>0.23434259941485358</v>
      </c>
      <c r="AF74" s="55">
        <f>+(AF14+AF17+AF18+AF19)/(AD14+AD17+AD18+AD19)-1</f>
        <v>0.36866508390026365</v>
      </c>
      <c r="AG74" s="53">
        <f>+(AG14+AG17+AG18+AG19)/(AB14+AB17+AB18+AB19)-1</f>
        <v>0.31141321418841583</v>
      </c>
    </row>
    <row r="75" spans="1:33" s="42" customFormat="1" outlineLevel="1" x14ac:dyDescent="0.3">
      <c r="A75" s="145"/>
      <c r="B75" s="199" t="s">
        <v>4</v>
      </c>
      <c r="C75" s="200"/>
      <c r="D75" s="51">
        <f t="shared" ref="D75:AG75" si="207">D21/D13</f>
        <v>0.37328130806391674</v>
      </c>
      <c r="E75" s="51">
        <f t="shared" si="207"/>
        <v>0.42666252330640148</v>
      </c>
      <c r="F75" s="51">
        <f t="shared" si="207"/>
        <v>0.445300242476109</v>
      </c>
      <c r="G75" s="51">
        <f t="shared" si="207"/>
        <v>0.51651719831990006</v>
      </c>
      <c r="H75" s="54">
        <f t="shared" si="207"/>
        <v>0.44963456111151312</v>
      </c>
      <c r="I75" s="51">
        <f t="shared" si="207"/>
        <v>0.41421812749003983</v>
      </c>
      <c r="J75" s="51">
        <f t="shared" si="207"/>
        <v>0.47215963952365625</v>
      </c>
      <c r="K75" s="51">
        <f t="shared" si="207"/>
        <v>0.49593338497288925</v>
      </c>
      <c r="L75" s="51">
        <f t="shared" si="207"/>
        <v>0.56675917360468697</v>
      </c>
      <c r="M75" s="54">
        <f t="shared" si="207"/>
        <v>0.49693749538779425</v>
      </c>
      <c r="N75" s="51">
        <f t="shared" si="207"/>
        <v>0.45537355841551064</v>
      </c>
      <c r="O75" s="51">
        <f t="shared" si="207"/>
        <v>0.44312599198851182</v>
      </c>
      <c r="P75" s="51">
        <f t="shared" si="207"/>
        <v>0.42114081736723247</v>
      </c>
      <c r="Q75" s="51">
        <f t="shared" si="207"/>
        <v>0.46233889085964291</v>
      </c>
      <c r="R75" s="54">
        <f t="shared" si="207"/>
        <v>0.44616569361366809</v>
      </c>
      <c r="S75" s="51">
        <f t="shared" si="207"/>
        <v>0.22000397957153281</v>
      </c>
      <c r="T75" s="51">
        <f t="shared" si="207"/>
        <v>0.27395475541869002</v>
      </c>
      <c r="U75" s="51">
        <f t="shared" si="207"/>
        <v>0.40703602991162474</v>
      </c>
      <c r="V75" s="51">
        <f t="shared" si="207"/>
        <v>0.42016886443411439</v>
      </c>
      <c r="W75" s="147">
        <f t="shared" si="207"/>
        <v>0.33927889443682191</v>
      </c>
      <c r="X75" s="51">
        <f t="shared" si="207"/>
        <v>0.33224333314540228</v>
      </c>
      <c r="Y75" s="51">
        <f t="shared" si="207"/>
        <v>0.29499999999999998</v>
      </c>
      <c r="Z75" s="51">
        <f t="shared" si="207"/>
        <v>0.31850000000000012</v>
      </c>
      <c r="AA75" s="51">
        <f t="shared" si="207"/>
        <v>0.36099999999999993</v>
      </c>
      <c r="AB75" s="54">
        <f t="shared" si="207"/>
        <v>0.3287344309073425</v>
      </c>
      <c r="AC75" s="51">
        <f t="shared" si="207"/>
        <v>0.31600000000000006</v>
      </c>
      <c r="AD75" s="51">
        <f t="shared" si="207"/>
        <v>0.35499999999999993</v>
      </c>
      <c r="AE75" s="51">
        <f t="shared" si="207"/>
        <v>0.35499999999999993</v>
      </c>
      <c r="AF75" s="51">
        <f t="shared" si="207"/>
        <v>0.36100000000000004</v>
      </c>
      <c r="AG75" s="54">
        <f t="shared" si="207"/>
        <v>0.34905055297056525</v>
      </c>
    </row>
    <row r="76" spans="1:33" s="42" customFormat="1" outlineLevel="1" x14ac:dyDescent="0.3">
      <c r="A76" s="145"/>
      <c r="B76" s="199" t="s">
        <v>2</v>
      </c>
      <c r="C76" s="200"/>
      <c r="D76" s="51">
        <f t="shared" ref="D76:X76" si="208">-D24/D23</f>
        <v>0.26876513317191281</v>
      </c>
      <c r="E76" s="51">
        <f t="shared" si="208"/>
        <v>0.25704989154013014</v>
      </c>
      <c r="F76" s="51">
        <f t="shared" si="208"/>
        <v>0.24928999684443043</v>
      </c>
      <c r="G76" s="51">
        <f t="shared" si="208"/>
        <v>5.422753430721558E-2</v>
      </c>
      <c r="H76" s="54">
        <f t="shared" si="208"/>
        <v>0.18381530595941845</v>
      </c>
      <c r="I76" s="51">
        <f t="shared" si="208"/>
        <v>0.10093896713615023</v>
      </c>
      <c r="J76" s="51">
        <f t="shared" si="208"/>
        <v>0.13235294117647059</v>
      </c>
      <c r="K76" s="51">
        <f t="shared" si="208"/>
        <v>0.10103132161955691</v>
      </c>
      <c r="L76" s="51">
        <f t="shared" si="208"/>
        <v>0.42803537925489143</v>
      </c>
      <c r="M76" s="54">
        <f t="shared" si="208"/>
        <v>0.22632805671554823</v>
      </c>
      <c r="N76" s="51">
        <f t="shared" si="208"/>
        <v>0.11087344028520499</v>
      </c>
      <c r="O76" s="51">
        <f t="shared" si="208"/>
        <v>0.12985685071574643</v>
      </c>
      <c r="P76" s="51">
        <f t="shared" si="208"/>
        <v>0.13108930987821379</v>
      </c>
      <c r="Q76" s="51">
        <f t="shared" si="208"/>
        <v>0.13662024840045164</v>
      </c>
      <c r="R76" s="54">
        <f t="shared" si="208"/>
        <v>0.12807065967430306</v>
      </c>
      <c r="S76" s="144">
        <f t="shared" si="208"/>
        <v>0.30241240666283747</v>
      </c>
      <c r="T76" s="51">
        <f t="shared" si="208"/>
        <v>0.45860927152317882</v>
      </c>
      <c r="U76" s="51">
        <f t="shared" si="208"/>
        <v>0.16891799699822621</v>
      </c>
      <c r="V76" s="51">
        <f t="shared" si="208"/>
        <v>0.19849492856363835</v>
      </c>
      <c r="W76" s="147">
        <f t="shared" si="208"/>
        <v>0.25499758181525067</v>
      </c>
      <c r="X76" s="144">
        <f t="shared" si="208"/>
        <v>0.16362395495649207</v>
      </c>
      <c r="Y76" s="59">
        <v>0.18</v>
      </c>
      <c r="Z76" s="59">
        <v>0.18</v>
      </c>
      <c r="AA76" s="59">
        <v>0.18</v>
      </c>
      <c r="AB76" s="166">
        <f>-AB24/AB23</f>
        <v>0.1765606553697337</v>
      </c>
      <c r="AC76" s="59">
        <f>AVERAGE(X76,Y76,Z76,AA76)</f>
        <v>0.175905988739123</v>
      </c>
      <c r="AD76" s="59">
        <f>AVERAGE(Y76,Z76,AA76,AC76)+0.246782050130681%</f>
        <v>0.18144431768608757</v>
      </c>
      <c r="AE76" s="59">
        <f>AVERAGE(Z76,AA76,AC76,AD76)+0.246782050130681%</f>
        <v>0.18180539710760946</v>
      </c>
      <c r="AF76" s="59">
        <f>AVERAGE(AA76,AC76,AD76,AE76)+0.246782050130681%</f>
        <v>0.18225674638451181</v>
      </c>
      <c r="AG76" s="54">
        <f>-AG24/AG23</f>
        <v>0.18079489491340411</v>
      </c>
    </row>
    <row r="77" spans="1:33" ht="17.399999999999999" x14ac:dyDescent="0.45">
      <c r="A77" s="138"/>
      <c r="B77" s="191" t="s">
        <v>18</v>
      </c>
      <c r="C77" s="192"/>
      <c r="D77" s="27" t="s">
        <v>49</v>
      </c>
      <c r="E77" s="27" t="s">
        <v>50</v>
      </c>
      <c r="F77" s="27" t="s">
        <v>51</v>
      </c>
      <c r="G77" s="27" t="s">
        <v>52</v>
      </c>
      <c r="H77" s="80" t="s">
        <v>53</v>
      </c>
      <c r="I77" s="27" t="s">
        <v>40</v>
      </c>
      <c r="J77" s="27" t="s">
        <v>41</v>
      </c>
      <c r="K77" s="27" t="s">
        <v>42</v>
      </c>
      <c r="L77" s="27" t="s">
        <v>43</v>
      </c>
      <c r="M77" s="80" t="s">
        <v>44</v>
      </c>
      <c r="N77" s="27" t="s">
        <v>31</v>
      </c>
      <c r="O77" s="27" t="s">
        <v>30</v>
      </c>
      <c r="P77" s="27" t="s">
        <v>29</v>
      </c>
      <c r="Q77" s="27" t="s">
        <v>28</v>
      </c>
      <c r="R77" s="80" t="s">
        <v>27</v>
      </c>
      <c r="S77" s="27" t="s">
        <v>141</v>
      </c>
      <c r="T77" s="27" t="s">
        <v>147</v>
      </c>
      <c r="U77" s="27" t="s">
        <v>148</v>
      </c>
      <c r="V77" s="27" t="s">
        <v>149</v>
      </c>
      <c r="W77" s="80" t="s">
        <v>150</v>
      </c>
      <c r="X77" s="27" t="s">
        <v>151</v>
      </c>
      <c r="Y77" s="25" t="s">
        <v>106</v>
      </c>
      <c r="Z77" s="25" t="s">
        <v>107</v>
      </c>
      <c r="AA77" s="25" t="s">
        <v>108</v>
      </c>
      <c r="AB77" s="82" t="s">
        <v>109</v>
      </c>
      <c r="AC77" s="25" t="s">
        <v>110</v>
      </c>
      <c r="AD77" s="25" t="s">
        <v>111</v>
      </c>
      <c r="AE77" s="25" t="s">
        <v>112</v>
      </c>
      <c r="AF77" s="25" t="s">
        <v>113</v>
      </c>
      <c r="AG77" s="82" t="s">
        <v>114</v>
      </c>
    </row>
    <row r="78" spans="1:33" outlineLevel="1" x14ac:dyDescent="0.3">
      <c r="A78" s="138"/>
      <c r="B78" s="199" t="s">
        <v>12</v>
      </c>
      <c r="C78" s="200"/>
      <c r="D78" s="51"/>
      <c r="E78" s="51"/>
      <c r="F78" s="51"/>
      <c r="G78" s="51"/>
      <c r="H78" s="53"/>
      <c r="I78" s="51">
        <f>(I28+I82)/G28-1</f>
        <v>3.7956280360860184E-3</v>
      </c>
      <c r="J78" s="51">
        <f>(J28+J82)/I28-1</f>
        <v>3.5230024213075417E-3</v>
      </c>
      <c r="K78" s="51">
        <f>(K28+K82)/J28-1</f>
        <v>2.6834940513578154E-3</v>
      </c>
      <c r="L78" s="51">
        <f>(L28+L82)/K28-1</f>
        <v>3.0440486794380828E-3</v>
      </c>
      <c r="M78" s="53"/>
      <c r="N78" s="51">
        <f>(N28+N82)/L28-1</f>
        <v>3.4813988299604581E-3</v>
      </c>
      <c r="O78" s="51">
        <f>(O28+O82)/N28-1</f>
        <v>2.5467086450188248E-3</v>
      </c>
      <c r="P78" s="51">
        <f>(P28+P82)/O28-1</f>
        <v>4.9405360145176047E-3</v>
      </c>
      <c r="Q78" s="51">
        <f>(Q28+Q82)/P28-1</f>
        <v>4.4046487651729915E-3</v>
      </c>
      <c r="R78" s="23"/>
      <c r="S78" s="51">
        <f>(S28+S82)/Q28-1</f>
        <v>-4.4787604456824059E-3</v>
      </c>
      <c r="T78" s="51">
        <f>(T28+T82)/S28-1</f>
        <v>1.8063725490196081E-3</v>
      </c>
      <c r="U78" s="51">
        <f>(U28+U82)/T28-1</f>
        <v>1.7723292469351559E-3</v>
      </c>
      <c r="V78" s="51">
        <f>(V28+V82)/U28-1</f>
        <v>2.3545900490538063E-3</v>
      </c>
      <c r="W78" s="23"/>
      <c r="X78" s="51">
        <f>(X28+X82)/V28-1</f>
        <v>1.1562718990889564E-3</v>
      </c>
      <c r="Y78" s="60">
        <f t="shared" ref="Y78:Y79" si="209">AVERAGE(T78,U78,V78,X78)</f>
        <v>1.7723909360243817E-3</v>
      </c>
      <c r="Z78" s="60">
        <f t="shared" ref="Z78:Z79" si="210">AVERAGE(U78,V78,X78,Y78)</f>
        <v>1.7638955327755751E-3</v>
      </c>
      <c r="AA78" s="60">
        <f t="shared" ref="AA78:AA79" si="211">AVERAGE(V78,X78,Y78,Z78)</f>
        <v>1.7617871042356799E-3</v>
      </c>
      <c r="AB78" s="23"/>
      <c r="AC78" s="60">
        <f t="shared" ref="AC78:AC79" si="212">AVERAGE(X78,Y78,Z78,AA78)</f>
        <v>1.6135863680311483E-3</v>
      </c>
      <c r="AD78" s="60">
        <f t="shared" ref="AD78:AD79" si="213">AVERAGE(Y78,Z78,AA78,AC78)</f>
        <v>1.7279149852666962E-3</v>
      </c>
      <c r="AE78" s="60">
        <f t="shared" ref="AE78:AE79" si="214">AVERAGE(Z78,AA78,AC78,AD78)</f>
        <v>1.7167959975772748E-3</v>
      </c>
      <c r="AF78" s="60">
        <f t="shared" ref="AF78:AF79" si="215">AVERAGE(AA78,AC78,AD78,AE78)</f>
        <v>1.7050211137776996E-3</v>
      </c>
      <c r="AG78" s="23"/>
    </row>
    <row r="79" spans="1:33" outlineLevel="1" x14ac:dyDescent="0.3">
      <c r="A79" s="138"/>
      <c r="B79" s="199" t="s">
        <v>13</v>
      </c>
      <c r="C79" s="200"/>
      <c r="D79" s="51"/>
      <c r="E79" s="51"/>
      <c r="F79" s="51"/>
      <c r="G79" s="51"/>
      <c r="H79" s="53"/>
      <c r="I79" s="51">
        <f>(I29+I82)/G29-1</f>
        <v>2.7021783526208765E-3</v>
      </c>
      <c r="J79" s="51">
        <f>(J29+J82)/I29-1</f>
        <v>2.7802309782607448E-3</v>
      </c>
      <c r="K79" s="51">
        <f>(K29+K82)/J29-1</f>
        <v>2.9759853435913364E-3</v>
      </c>
      <c r="L79" s="51">
        <f>(L29+L82)/K29-1</f>
        <v>1.2990248190420939E-3</v>
      </c>
      <c r="M79" s="53"/>
      <c r="N79" s="51">
        <f>(N29+N82)/L29-1</f>
        <v>7.1781530084469303E-4</v>
      </c>
      <c r="O79" s="51">
        <f>(O29+O82)/N29-1</f>
        <v>1.1547488361374203E-3</v>
      </c>
      <c r="P79" s="51">
        <f>(P29+P82)/O29-1</f>
        <v>2.4924408744124715E-3</v>
      </c>
      <c r="Q79" s="51">
        <f>(Q29+Q82)/P29-1</f>
        <v>-4.4373096892402764E-4</v>
      </c>
      <c r="R79" s="23"/>
      <c r="S79" s="51">
        <f>(S29+S82)/Q29-1</f>
        <v>-4.803534303534196E-3</v>
      </c>
      <c r="T79" s="51">
        <f>(T29+T82)/S29-1</f>
        <v>4.2380620425235271E-3</v>
      </c>
      <c r="U79" s="51">
        <f>(U29+U82)/T29-1</f>
        <v>1.7599999999999838E-3</v>
      </c>
      <c r="V79" s="51">
        <f>(V29+V82)/U29-1</f>
        <v>4.4258872651357084E-3</v>
      </c>
      <c r="W79" s="23"/>
      <c r="X79" s="51">
        <f>(X29+X82)/V29-1</f>
        <v>-1.979166666666643E-3</v>
      </c>
      <c r="Y79" s="60">
        <f t="shared" si="209"/>
        <v>2.1111956602481441E-3</v>
      </c>
      <c r="Z79" s="60">
        <f t="shared" si="210"/>
        <v>1.5794790646792983E-3</v>
      </c>
      <c r="AA79" s="60">
        <f t="shared" si="211"/>
        <v>1.534348830849127E-3</v>
      </c>
      <c r="AB79" s="23"/>
      <c r="AC79" s="60">
        <f t="shared" si="212"/>
        <v>8.114642222774816E-4</v>
      </c>
      <c r="AD79" s="60">
        <f t="shared" si="213"/>
        <v>1.5091219445135127E-3</v>
      </c>
      <c r="AE79" s="60">
        <f t="shared" si="214"/>
        <v>1.358603515579855E-3</v>
      </c>
      <c r="AF79" s="60">
        <f t="shared" si="215"/>
        <v>1.3033846283049941E-3</v>
      </c>
      <c r="AG79" s="23"/>
    </row>
    <row r="80" spans="1:33" outlineLevel="1" x14ac:dyDescent="0.3">
      <c r="A80" s="138"/>
      <c r="B80" s="199" t="s">
        <v>5</v>
      </c>
      <c r="C80" s="200"/>
      <c r="D80" s="61"/>
      <c r="E80" s="61"/>
      <c r="F80" s="61"/>
      <c r="G80" s="61"/>
      <c r="H80" s="65"/>
      <c r="I80" s="61">
        <v>117.82</v>
      </c>
      <c r="J80" s="61">
        <v>151.91</v>
      </c>
      <c r="K80" s="61">
        <v>166.56332334630517</v>
      </c>
      <c r="L80" s="61">
        <v>176.70181536624793</v>
      </c>
      <c r="M80" s="65"/>
      <c r="N80" s="61">
        <v>172.2070981221278</v>
      </c>
      <c r="O80" s="61">
        <v>174.6990364065723</v>
      </c>
      <c r="P80" s="61">
        <v>175.11542355903225</v>
      </c>
      <c r="Q80" s="61">
        <v>137.87315514615219</v>
      </c>
      <c r="R80" s="65"/>
      <c r="S80" s="146">
        <v>166.34</v>
      </c>
      <c r="T80" s="146">
        <f>((2159*180.22)+(2200*186.29)+(1800*181.21))/6159</f>
        <v>182.67754180873519</v>
      </c>
      <c r="U80" s="146">
        <f>((1980*199.28)+(1980*184.89)+(2100*185.71))/6060</f>
        <v>189.87584158415842</v>
      </c>
      <c r="V80" s="146">
        <f>((2415*184.42)+(2100*195.74)+(2205*202.02))/6720</f>
        <v>193.73250000000002</v>
      </c>
      <c r="W80" s="62"/>
      <c r="X80" s="146">
        <f>((2205*216.5)+(1995*207.57)+(2100*166.71))/6300</f>
        <v>197.07549999999998</v>
      </c>
      <c r="Y80" s="63">
        <v>230</v>
      </c>
      <c r="Z80" s="63">
        <f>Y80</f>
        <v>230</v>
      </c>
      <c r="AA80" s="63">
        <f>Z80</f>
        <v>230</v>
      </c>
      <c r="AB80" s="62"/>
      <c r="AC80" s="63">
        <f>AA80</f>
        <v>230</v>
      </c>
      <c r="AD80" s="63">
        <f>AC80</f>
        <v>230</v>
      </c>
      <c r="AE80" s="63">
        <f>AD80</f>
        <v>230</v>
      </c>
      <c r="AF80" s="63">
        <f>AE80</f>
        <v>230</v>
      </c>
      <c r="AG80" s="62"/>
    </row>
    <row r="81" spans="1:33" outlineLevel="1" x14ac:dyDescent="0.3">
      <c r="A81" s="138"/>
      <c r="B81" s="199" t="s">
        <v>6</v>
      </c>
      <c r="C81" s="200"/>
      <c r="D81" s="29"/>
      <c r="E81" s="29"/>
      <c r="F81" s="29"/>
      <c r="G81" s="29"/>
      <c r="H81" s="30"/>
      <c r="I81" s="29">
        <f>+(1939*117.82+18*0)/1000</f>
        <v>228.45297999999997</v>
      </c>
      <c r="J81" s="29">
        <f>1185*151.91/1000</f>
        <v>180.01335</v>
      </c>
      <c r="K81" s="29">
        <f>+(1249*160.1+1360*169.12+1173*170.5)/1000</f>
        <v>629.96460000000002</v>
      </c>
      <c r="L81" s="29">
        <f>+(1008*172.19+4832*177.64)/1000</f>
        <v>1031.924</v>
      </c>
      <c r="M81" s="30">
        <f>SUM(I81:L81)</f>
        <v>2070.35493</v>
      </c>
      <c r="N81" s="29">
        <f>+(1706*184.67+1576*180.83+7838*167.77)/1000</f>
        <v>1915.0163599999998</v>
      </c>
      <c r="O81" s="29">
        <f>+(9668*161.2+3353*180.81+5380*195.14)/1000</f>
        <v>3214.5907299999994</v>
      </c>
      <c r="P81" s="29">
        <f>(5288*198.56+6480*177.52+12535*163.98)/1000</f>
        <v>4255.8041800000001</v>
      </c>
      <c r="Q81" s="29">
        <f>+(25708*137.87)/1000</f>
        <v>3544.3619600000002</v>
      </c>
      <c r="R81" s="30">
        <f>SUM(N81:Q81)</f>
        <v>12929.773230000001</v>
      </c>
      <c r="S81" s="133">
        <v>521.80858000000001</v>
      </c>
      <c r="T81" s="133">
        <f>((2159*180.22)+(2200*186.29)+(1800*181.21))/1000</f>
        <v>1125.1109799999999</v>
      </c>
      <c r="U81" s="133">
        <f>((1980*199.28)+(1980*184.89)+(2100*185.71))/1000</f>
        <v>1150.6476</v>
      </c>
      <c r="V81" s="133">
        <f>((2415*184.42)+(2100*195.74)+(2205*202.02))/1000</f>
        <v>1301.8824000000002</v>
      </c>
      <c r="W81" s="30">
        <f>+SUM(S81:V81)</f>
        <v>4099.44956</v>
      </c>
      <c r="X81" s="133">
        <f>((2205*216.5)+(1995*207.57)+(2100*166.71))/1000</f>
        <v>1241.57565</v>
      </c>
      <c r="Y81" s="58">
        <f>AVERAGE(T81,U81,V81,X81)</f>
        <v>1204.8041575</v>
      </c>
      <c r="Z81" s="58">
        <f>AVERAGE(U81,V81,X81,Y81)</f>
        <v>1224.727451875</v>
      </c>
      <c r="AA81" s="58">
        <f>AVERAGE(V81,X81,Y81,Z81)</f>
        <v>1243.24741484375</v>
      </c>
      <c r="AB81" s="30">
        <f>+SUM(X81:AA81)</f>
        <v>4914.35467421875</v>
      </c>
      <c r="AC81" s="58">
        <f>AVERAGE(X81,Y81,Z81,AA81)</f>
        <v>1228.5886685546875</v>
      </c>
      <c r="AD81" s="58">
        <f>AVERAGE(Y81,Z81,AA81,AC81)</f>
        <v>1225.3419231933594</v>
      </c>
      <c r="AE81" s="58">
        <f>AVERAGE(Z81,AA81,AC81,AD81)</f>
        <v>1230.4763646166994</v>
      </c>
      <c r="AF81" s="58">
        <f>AVERAGE(AA81,AC81,AD81,AE81)</f>
        <v>1231.9135928021242</v>
      </c>
      <c r="AG81" s="30">
        <f>+SUM(AC81:AF81)</f>
        <v>4916.3205491668705</v>
      </c>
    </row>
    <row r="82" spans="1:33" outlineLevel="1" x14ac:dyDescent="0.3">
      <c r="A82" s="138"/>
      <c r="B82" s="197" t="s">
        <v>17</v>
      </c>
      <c r="C82" s="198"/>
      <c r="D82" s="66"/>
      <c r="E82" s="66"/>
      <c r="F82" s="66"/>
      <c r="G82" s="66"/>
      <c r="H82" s="101"/>
      <c r="I82" s="66">
        <f>IF((I81)&gt;0,(I81/I80),0)</f>
        <v>1.9389999999999998</v>
      </c>
      <c r="J82" s="66">
        <f>IF((J81)&gt;0,(J81/J80),0)</f>
        <v>1.1850000000000001</v>
      </c>
      <c r="K82" s="66">
        <f>IF((K81)&gt;0,(K81/K80),0)</f>
        <v>3.7821327489379395</v>
      </c>
      <c r="L82" s="66">
        <f>IF((L81)&gt;0,(L81/L80),0)</f>
        <v>5.8399173650884251</v>
      </c>
      <c r="M82" s="101">
        <f>+SUM(I82:L82)</f>
        <v>12.746050114026364</v>
      </c>
      <c r="N82" s="66">
        <f>IF((N81)&gt;0,(N81/N80),0)</f>
        <v>11.120426398695173</v>
      </c>
      <c r="O82" s="66">
        <f>IF((O81)&gt;0,(O81/O80),0)</f>
        <v>18.400735322424847</v>
      </c>
      <c r="P82" s="66">
        <f>IF((P81)&gt;0,(P81/P80),0)</f>
        <v>24.302851762028535</v>
      </c>
      <c r="Q82" s="66">
        <f>IF((Q81)&gt;0,(Q81/Q80),0)</f>
        <v>25.707411687523983</v>
      </c>
      <c r="R82" s="101">
        <f>+SUM(N82:Q82)</f>
        <v>79.531425170672534</v>
      </c>
      <c r="S82" s="66">
        <f>IF((S81)&gt;0,(S81/S80),0)</f>
        <v>3.137</v>
      </c>
      <c r="T82" s="66">
        <f>IF((T81)&gt;0,(T81/T80),0)</f>
        <v>6.1589999999999998</v>
      </c>
      <c r="U82" s="66">
        <f>IF((U81)&gt;0,(U81/U80),0)</f>
        <v>6.06</v>
      </c>
      <c r="V82" s="66">
        <f>IF((V81)&gt;0,(V81/V80),0)</f>
        <v>6.7200000000000006</v>
      </c>
      <c r="W82" s="101">
        <f>+SUM(S82:V82)</f>
        <v>22.076000000000001</v>
      </c>
      <c r="X82" s="66">
        <f>IF((X81)&gt;0,(X81/X80),0)</f>
        <v>6.3000000000000007</v>
      </c>
      <c r="Y82" s="66">
        <f>IF((Y81)&gt;0,(Y81/Y80),0)</f>
        <v>5.2382789456521737</v>
      </c>
      <c r="Z82" s="66">
        <f>IF((Z81)&gt;0,(Z81/Z80),0)</f>
        <v>5.3249019646739129</v>
      </c>
      <c r="AA82" s="66">
        <f>IF((AA81)&gt;0,(AA81/AA80),0)</f>
        <v>5.4054235427989132</v>
      </c>
      <c r="AB82" s="101">
        <f>+SUM(X82:AA82)</f>
        <v>22.268604453125</v>
      </c>
      <c r="AC82" s="66">
        <f>IF((AC81)&gt;0,(AC81/AC80),0)</f>
        <v>5.3416898632812497</v>
      </c>
      <c r="AD82" s="66">
        <f>IF((AD81)&gt;0,(AD81/AD80),0)</f>
        <v>5.3275735791015624</v>
      </c>
      <c r="AE82" s="66">
        <f>IF((AE81)&gt;0,(AE81/AE80),0)</f>
        <v>5.3498972374639102</v>
      </c>
      <c r="AF82" s="66">
        <f>IF((AF81)&gt;0,(AF81/AF80),0)</f>
        <v>5.3561460556614096</v>
      </c>
      <c r="AG82" s="101">
        <f>+SUM(AC82:AF82)</f>
        <v>21.375306735508129</v>
      </c>
    </row>
    <row r="83" spans="1:33" ht="17.399999999999999" x14ac:dyDescent="0.45">
      <c r="A83" s="138"/>
      <c r="B83" s="191" t="s">
        <v>24</v>
      </c>
      <c r="C83" s="192"/>
      <c r="D83" s="27" t="s">
        <v>49</v>
      </c>
      <c r="E83" s="27" t="s">
        <v>50</v>
      </c>
      <c r="F83" s="27" t="s">
        <v>51</v>
      </c>
      <c r="G83" s="27" t="s">
        <v>52</v>
      </c>
      <c r="H83" s="80" t="s">
        <v>53</v>
      </c>
      <c r="I83" s="27" t="s">
        <v>40</v>
      </c>
      <c r="J83" s="27" t="s">
        <v>41</v>
      </c>
      <c r="K83" s="27" t="s">
        <v>42</v>
      </c>
      <c r="L83" s="27" t="s">
        <v>43</v>
      </c>
      <c r="M83" s="80" t="s">
        <v>44</v>
      </c>
      <c r="N83" s="27" t="s">
        <v>31</v>
      </c>
      <c r="O83" s="27" t="s">
        <v>30</v>
      </c>
      <c r="P83" s="27" t="s">
        <v>29</v>
      </c>
      <c r="Q83" s="27" t="s">
        <v>28</v>
      </c>
      <c r="R83" s="80" t="s">
        <v>27</v>
      </c>
      <c r="S83" s="27" t="s">
        <v>141</v>
      </c>
      <c r="T83" s="27" t="s">
        <v>147</v>
      </c>
      <c r="U83" s="27" t="s">
        <v>148</v>
      </c>
      <c r="V83" s="27" t="s">
        <v>149</v>
      </c>
      <c r="W83" s="80" t="s">
        <v>150</v>
      </c>
      <c r="X83" s="27" t="s">
        <v>151</v>
      </c>
      <c r="Y83" s="25" t="s">
        <v>106</v>
      </c>
      <c r="Z83" s="25" t="s">
        <v>107</v>
      </c>
      <c r="AA83" s="25" t="s">
        <v>108</v>
      </c>
      <c r="AB83" s="82" t="s">
        <v>109</v>
      </c>
      <c r="AC83" s="25" t="s">
        <v>110</v>
      </c>
      <c r="AD83" s="25" t="s">
        <v>111</v>
      </c>
      <c r="AE83" s="25" t="s">
        <v>112</v>
      </c>
      <c r="AF83" s="25" t="s">
        <v>113</v>
      </c>
      <c r="AG83" s="82" t="s">
        <v>114</v>
      </c>
    </row>
    <row r="84" spans="1:33" outlineLevel="1" x14ac:dyDescent="0.3">
      <c r="A84" s="138"/>
      <c r="B84" s="199" t="s">
        <v>95</v>
      </c>
      <c r="C84" s="200"/>
      <c r="D84" s="29"/>
      <c r="E84" s="29"/>
      <c r="F84" s="29"/>
      <c r="G84" s="29"/>
      <c r="H84" s="30"/>
      <c r="I84" s="29">
        <v>-536</v>
      </c>
      <c r="J84" s="29">
        <v>-373</v>
      </c>
      <c r="K84" s="29">
        <v>159</v>
      </c>
      <c r="L84" s="29">
        <v>348</v>
      </c>
      <c r="M84" s="30"/>
      <c r="N84" s="29">
        <v>-536</v>
      </c>
      <c r="O84" s="29">
        <v>-373</v>
      </c>
      <c r="P84" s="29">
        <v>159</v>
      </c>
      <c r="Q84" s="29">
        <v>348</v>
      </c>
      <c r="R84" s="30">
        <v>-401</v>
      </c>
      <c r="S84" s="133">
        <v>503</v>
      </c>
      <c r="T84" s="133">
        <v>574</v>
      </c>
      <c r="U84" s="133">
        <v>297</v>
      </c>
      <c r="V84" s="133">
        <v>295</v>
      </c>
      <c r="W84" s="128">
        <f t="shared" ref="W84" si="216">SUM(S84:V84)</f>
        <v>1669</v>
      </c>
      <c r="X84" s="133">
        <v>275</v>
      </c>
      <c r="Y84" s="58">
        <f>X84</f>
        <v>275</v>
      </c>
      <c r="Z84" s="58">
        <v>150</v>
      </c>
      <c r="AA84" s="58">
        <v>100</v>
      </c>
      <c r="AB84" s="30">
        <f t="shared" ref="AB84" si="217">SUM(X84:AA84)</f>
        <v>800</v>
      </c>
      <c r="AC84" s="58">
        <v>50</v>
      </c>
      <c r="AD84" s="58">
        <f>AC84</f>
        <v>50</v>
      </c>
      <c r="AE84" s="58">
        <f>AD84</f>
        <v>50</v>
      </c>
      <c r="AF84" s="58">
        <f>AE84</f>
        <v>50</v>
      </c>
      <c r="AG84" s="30">
        <f t="shared" ref="AG84" si="218">SUM(AC84:AF84)</f>
        <v>200</v>
      </c>
    </row>
    <row r="85" spans="1:33" ht="17.399999999999999" x14ac:dyDescent="0.45">
      <c r="A85" s="138"/>
      <c r="B85" s="191" t="s">
        <v>96</v>
      </c>
      <c r="C85" s="192"/>
      <c r="D85" s="27" t="s">
        <v>49</v>
      </c>
      <c r="E85" s="27" t="s">
        <v>50</v>
      </c>
      <c r="F85" s="27" t="s">
        <v>51</v>
      </c>
      <c r="G85" s="27" t="s">
        <v>52</v>
      </c>
      <c r="H85" s="80" t="s">
        <v>53</v>
      </c>
      <c r="I85" s="27" t="s">
        <v>40</v>
      </c>
      <c r="J85" s="27" t="s">
        <v>41</v>
      </c>
      <c r="K85" s="27" t="s">
        <v>42</v>
      </c>
      <c r="L85" s="27" t="s">
        <v>43</v>
      </c>
      <c r="M85" s="80" t="s">
        <v>44</v>
      </c>
      <c r="N85" s="27" t="s">
        <v>31</v>
      </c>
      <c r="O85" s="27" t="s">
        <v>30</v>
      </c>
      <c r="P85" s="27" t="s">
        <v>29</v>
      </c>
      <c r="Q85" s="27" t="s">
        <v>28</v>
      </c>
      <c r="R85" s="80" t="s">
        <v>27</v>
      </c>
      <c r="S85" s="27" t="s">
        <v>141</v>
      </c>
      <c r="T85" s="27" t="s">
        <v>147</v>
      </c>
      <c r="U85" s="27" t="s">
        <v>148</v>
      </c>
      <c r="V85" s="27" t="s">
        <v>149</v>
      </c>
      <c r="W85" s="80" t="s">
        <v>150</v>
      </c>
      <c r="X85" s="27" t="s">
        <v>151</v>
      </c>
      <c r="Y85" s="25" t="s">
        <v>106</v>
      </c>
      <c r="Z85" s="25" t="s">
        <v>107</v>
      </c>
      <c r="AA85" s="25" t="s">
        <v>108</v>
      </c>
      <c r="AB85" s="82" t="s">
        <v>109</v>
      </c>
      <c r="AC85" s="25" t="s">
        <v>110</v>
      </c>
      <c r="AD85" s="25" t="s">
        <v>111</v>
      </c>
      <c r="AE85" s="25" t="s">
        <v>112</v>
      </c>
      <c r="AF85" s="25" t="s">
        <v>113</v>
      </c>
      <c r="AG85" s="82" t="s">
        <v>114</v>
      </c>
    </row>
    <row r="86" spans="1:33" outlineLevel="1" x14ac:dyDescent="0.3">
      <c r="A86" s="138"/>
      <c r="B86" s="70" t="s">
        <v>67</v>
      </c>
      <c r="C86" s="71"/>
      <c r="D86" s="29"/>
      <c r="E86" s="29"/>
      <c r="F86" s="29"/>
      <c r="G86" s="29"/>
      <c r="H86" s="30"/>
      <c r="I86" s="29">
        <v>34</v>
      </c>
      <c r="J86" s="29">
        <v>47</v>
      </c>
      <c r="K86" s="29">
        <v>47</v>
      </c>
      <c r="L86" s="29">
        <v>50</v>
      </c>
      <c r="M86" s="30"/>
      <c r="N86" s="29">
        <v>56</v>
      </c>
      <c r="O86" s="29">
        <v>74</v>
      </c>
      <c r="P86" s="29">
        <v>72</v>
      </c>
      <c r="Q86" s="85">
        <v>82</v>
      </c>
      <c r="R86" s="30">
        <f>SUM(N86:Q86)</f>
        <v>284</v>
      </c>
      <c r="S86" s="133">
        <v>87</v>
      </c>
      <c r="T86" s="133">
        <v>109</v>
      </c>
      <c r="U86" s="133">
        <v>91</v>
      </c>
      <c r="V86" s="133">
        <f>377-U86-T86-S86</f>
        <v>90</v>
      </c>
      <c r="W86" s="30">
        <f>SUM(S86:V86)</f>
        <v>377</v>
      </c>
      <c r="X86" s="133">
        <v>94</v>
      </c>
      <c r="Y86" s="58">
        <f>AVERAGE(T86,U86,V86,X86)</f>
        <v>96</v>
      </c>
      <c r="Z86" s="58">
        <f>AVERAGE(U86,V86,X86,Y86)</f>
        <v>92.75</v>
      </c>
      <c r="AA86" s="58">
        <f>AVERAGE(V86,X86,Y86,Z86)</f>
        <v>93.1875</v>
      </c>
      <c r="AB86" s="30">
        <f>SUM(X86:AA86)</f>
        <v>375.9375</v>
      </c>
      <c r="AC86" s="58">
        <f>AVERAGE(X86,Y86,Z86,AA86)</f>
        <v>93.984375</v>
      </c>
      <c r="AD86" s="58">
        <f>AVERAGE(Y86,Z86,AA86,AC86)</f>
        <v>93.98046875</v>
      </c>
      <c r="AE86" s="58">
        <f>AVERAGE(Z86,AA86,AC86,AD86)</f>
        <v>93.4755859375</v>
      </c>
      <c r="AF86" s="58">
        <f>AVERAGE(AA86,AC86,AD86,AE86)</f>
        <v>93.656982421875</v>
      </c>
      <c r="AG86" s="30">
        <f>SUM(AC86:AF86)</f>
        <v>375.097412109375</v>
      </c>
    </row>
    <row r="87" spans="1:33" s="87" customFormat="1" outlineLevel="1" x14ac:dyDescent="0.3">
      <c r="A87" s="148"/>
      <c r="B87" s="70" t="s">
        <v>99</v>
      </c>
      <c r="C87" s="102"/>
      <c r="D87" s="88"/>
      <c r="E87" s="88"/>
      <c r="F87" s="88"/>
      <c r="G87" s="29"/>
      <c r="H87" s="103"/>
      <c r="I87" s="29">
        <v>670</v>
      </c>
      <c r="J87" s="29">
        <v>787</v>
      </c>
      <c r="K87" s="29">
        <v>776</v>
      </c>
      <c r="L87" s="29">
        <v>587</v>
      </c>
      <c r="M87" s="103"/>
      <c r="N87" s="29">
        <v>718</v>
      </c>
      <c r="O87" s="29">
        <v>881</v>
      </c>
      <c r="P87" s="29">
        <v>748</v>
      </c>
      <c r="Q87" s="85">
        <v>675</v>
      </c>
      <c r="R87" s="30">
        <f t="shared" ref="R87:R89" si="219">SUM(N87:Q87)</f>
        <v>3022</v>
      </c>
      <c r="S87" s="133">
        <v>723</v>
      </c>
      <c r="T87" s="133">
        <v>927</v>
      </c>
      <c r="U87" s="133">
        <v>907</v>
      </c>
      <c r="V87" s="133">
        <f>3488-U87-T87-S87</f>
        <v>931</v>
      </c>
      <c r="W87" s="30">
        <f t="shared" ref="W87:W89" si="220">SUM(S87:V87)</f>
        <v>3488</v>
      </c>
      <c r="X87" s="133">
        <v>999</v>
      </c>
      <c r="Y87" s="58">
        <f t="shared" ref="Y87:Y89" si="221">AVERAGE(T87,U87,V87,X87)</f>
        <v>941</v>
      </c>
      <c r="Z87" s="58">
        <f t="shared" ref="Z87:Z89" si="222">AVERAGE(U87,V87,X87,Y87)</f>
        <v>944.5</v>
      </c>
      <c r="AA87" s="58">
        <f t="shared" ref="AA87:AA89" si="223">AVERAGE(V87,X87,Y87,Z87)</f>
        <v>953.875</v>
      </c>
      <c r="AB87" s="30">
        <f t="shared" ref="AB87:AB89" si="224">SUM(X87:AA87)</f>
        <v>3838.375</v>
      </c>
      <c r="AC87" s="58">
        <f t="shared" ref="AC87:AC89" si="225">AVERAGE(X87,Y87,Z87,AA87)</f>
        <v>959.59375</v>
      </c>
      <c r="AD87" s="58">
        <f t="shared" ref="AD87:AD89" si="226">AVERAGE(Y87,Z87,AA87,AC87)</f>
        <v>949.7421875</v>
      </c>
      <c r="AE87" s="58">
        <f t="shared" ref="AE87:AE89" si="227">AVERAGE(Z87,AA87,AC87,AD87)</f>
        <v>951.927734375</v>
      </c>
      <c r="AF87" s="58">
        <f t="shared" ref="AF87:AF89" si="228">AVERAGE(AA87,AC87,AD87,AE87)</f>
        <v>953.78466796875</v>
      </c>
      <c r="AG87" s="30">
        <f t="shared" ref="AG87:AG89" si="229">SUM(AC87:AF87)</f>
        <v>3815.04833984375</v>
      </c>
    </row>
    <row r="88" spans="1:33" outlineLevel="1" x14ac:dyDescent="0.3">
      <c r="A88" s="138"/>
      <c r="B88" s="70" t="s">
        <v>98</v>
      </c>
      <c r="C88" s="71"/>
      <c r="D88" s="29"/>
      <c r="E88" s="29"/>
      <c r="F88" s="29"/>
      <c r="G88" s="29"/>
      <c r="H88" s="30"/>
      <c r="I88" s="29">
        <v>96</v>
      </c>
      <c r="J88" s="29">
        <v>120</v>
      </c>
      <c r="K88" s="29">
        <v>114</v>
      </c>
      <c r="L88" s="29">
        <v>106</v>
      </c>
      <c r="M88" s="30"/>
      <c r="N88" s="29">
        <v>109</v>
      </c>
      <c r="O88" s="29">
        <v>139</v>
      </c>
      <c r="P88" s="29">
        <v>133</v>
      </c>
      <c r="Q88" s="85">
        <v>130</v>
      </c>
      <c r="R88" s="30">
        <f t="shared" si="219"/>
        <v>511</v>
      </c>
      <c r="S88" s="133">
        <v>113</v>
      </c>
      <c r="T88" s="133">
        <v>160</v>
      </c>
      <c r="U88" s="133">
        <v>148</v>
      </c>
      <c r="V88" s="133">
        <f>569-U88-T88-S88</f>
        <v>148</v>
      </c>
      <c r="W88" s="30">
        <f t="shared" si="220"/>
        <v>569</v>
      </c>
      <c r="X88" s="133">
        <v>149</v>
      </c>
      <c r="Y88" s="58">
        <f t="shared" si="221"/>
        <v>151.25</v>
      </c>
      <c r="Z88" s="58">
        <f t="shared" si="222"/>
        <v>149.0625</v>
      </c>
      <c r="AA88" s="58">
        <f t="shared" si="223"/>
        <v>149.328125</v>
      </c>
      <c r="AB88" s="30">
        <f t="shared" si="224"/>
        <v>598.640625</v>
      </c>
      <c r="AC88" s="58">
        <f t="shared" si="225"/>
        <v>149.66015625</v>
      </c>
      <c r="AD88" s="58">
        <f t="shared" si="226"/>
        <v>149.8251953125</v>
      </c>
      <c r="AE88" s="58">
        <f t="shared" si="227"/>
        <v>149.468994140625</v>
      </c>
      <c r="AF88" s="58">
        <f t="shared" si="228"/>
        <v>149.57061767578125</v>
      </c>
      <c r="AG88" s="30">
        <f t="shared" si="229"/>
        <v>598.52496337890625</v>
      </c>
    </row>
    <row r="89" spans="1:33" outlineLevel="1" x14ac:dyDescent="0.3">
      <c r="A89" s="138"/>
      <c r="B89" s="76" t="s">
        <v>97</v>
      </c>
      <c r="C89" s="89"/>
      <c r="D89" s="67"/>
      <c r="E89" s="67"/>
      <c r="F89" s="67"/>
      <c r="G89" s="67"/>
      <c r="H89" s="68"/>
      <c r="I89" s="67">
        <v>67</v>
      </c>
      <c r="J89" s="67">
        <v>78</v>
      </c>
      <c r="K89" s="67">
        <v>73</v>
      </c>
      <c r="L89" s="67">
        <v>71</v>
      </c>
      <c r="M89" s="68"/>
      <c r="N89" s="67">
        <v>72</v>
      </c>
      <c r="O89" s="67">
        <v>92</v>
      </c>
      <c r="P89" s="67">
        <v>87</v>
      </c>
      <c r="Q89" s="104">
        <v>84</v>
      </c>
      <c r="R89" s="68">
        <f t="shared" si="219"/>
        <v>335</v>
      </c>
      <c r="S89" s="149">
        <v>87</v>
      </c>
      <c r="T89" s="157">
        <v>107</v>
      </c>
      <c r="U89" s="157">
        <v>103</v>
      </c>
      <c r="V89" s="162">
        <f>402-U89-T89-S89</f>
        <v>105</v>
      </c>
      <c r="W89" s="68">
        <f t="shared" si="220"/>
        <v>402</v>
      </c>
      <c r="X89" s="149">
        <v>93</v>
      </c>
      <c r="Y89" s="77">
        <f t="shared" si="221"/>
        <v>102</v>
      </c>
      <c r="Z89" s="77">
        <f t="shared" si="222"/>
        <v>100.75</v>
      </c>
      <c r="AA89" s="106">
        <f t="shared" si="223"/>
        <v>100.1875</v>
      </c>
      <c r="AB89" s="68">
        <f t="shared" si="224"/>
        <v>395.9375</v>
      </c>
      <c r="AC89" s="105">
        <f t="shared" si="225"/>
        <v>98.984375</v>
      </c>
      <c r="AD89" s="77">
        <f t="shared" si="226"/>
        <v>100.48046875</v>
      </c>
      <c r="AE89" s="77">
        <f t="shared" si="227"/>
        <v>100.1005859375</v>
      </c>
      <c r="AF89" s="106">
        <f t="shared" si="228"/>
        <v>99.938232421875</v>
      </c>
      <c r="AG89" s="68">
        <f t="shared" si="229"/>
        <v>399.503662109375</v>
      </c>
    </row>
    <row r="90" spans="1:33" x14ac:dyDescent="0.3">
      <c r="A90" s="138"/>
      <c r="B90" s="20"/>
      <c r="C90" s="20"/>
      <c r="F90" s="3"/>
      <c r="G90" s="3"/>
      <c r="H90" s="3"/>
      <c r="I90" s="152"/>
      <c r="J90" s="152"/>
      <c r="K90" s="152"/>
      <c r="L90" s="152"/>
      <c r="M90" s="84"/>
      <c r="N90" s="152"/>
      <c r="O90" s="152"/>
      <c r="P90" s="152"/>
      <c r="Q90" s="152"/>
      <c r="R90" s="152"/>
      <c r="S90" s="152"/>
      <c r="T90" s="152"/>
      <c r="U90" s="152"/>
      <c r="V90" s="152"/>
      <c r="W90" s="84"/>
      <c r="Z90" s="3"/>
      <c r="AA90" s="3"/>
      <c r="AB90" s="84"/>
      <c r="AE90" s="3"/>
      <c r="AF90" s="3"/>
      <c r="AG90" s="84"/>
    </row>
  </sheetData>
  <dataConsolidate/>
  <mergeCells count="37">
    <mergeCell ref="B85:C85"/>
    <mergeCell ref="A11:A12"/>
    <mergeCell ref="B35:C35"/>
    <mergeCell ref="B41:C41"/>
    <mergeCell ref="B79:C79"/>
    <mergeCell ref="B78:C78"/>
    <mergeCell ref="B76:C76"/>
    <mergeCell ref="B51:C51"/>
    <mergeCell ref="B61:C61"/>
    <mergeCell ref="B34:C34"/>
    <mergeCell ref="B65:C65"/>
    <mergeCell ref="B67:C67"/>
    <mergeCell ref="B80:C80"/>
    <mergeCell ref="B75:C75"/>
    <mergeCell ref="B77:C77"/>
    <mergeCell ref="B68:C68"/>
    <mergeCell ref="B2:C2"/>
    <mergeCell ref="B82:C82"/>
    <mergeCell ref="B81:C81"/>
    <mergeCell ref="B83:C83"/>
    <mergeCell ref="B84:C84"/>
    <mergeCell ref="B13:C13"/>
    <mergeCell ref="B24:C24"/>
    <mergeCell ref="B23:C23"/>
    <mergeCell ref="B64:C64"/>
    <mergeCell ref="B63:C63"/>
    <mergeCell ref="B31:C31"/>
    <mergeCell ref="B30:C30"/>
    <mergeCell ref="B29:C29"/>
    <mergeCell ref="B28:C28"/>
    <mergeCell ref="B25:C25"/>
    <mergeCell ref="B33:C33"/>
    <mergeCell ref="B3:C3"/>
    <mergeCell ref="B4:C4"/>
    <mergeCell ref="B5:C5"/>
    <mergeCell ref="B11:C11"/>
    <mergeCell ref="B12:C12"/>
  </mergeCells>
  <phoneticPr fontId="69" type="noConversion"/>
  <pageMargins left="0.7" right="0.7" top="0.75" bottom="0.75" header="0.3" footer="0.3"/>
  <pageSetup scale="15" orientation="landscape" r:id="rId1"/>
  <headerFooter>
    <oddFooter>&amp;CGutenberg Research LLC prohibits the redistribution of this document in whole or part without the written permission. 
© Gutenberg Research LLC 2019.</oddFooter>
  </headerFooter>
  <rowBreaks count="1" manualBreakCount="1">
    <brk id="89"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N41"/>
  <sheetViews>
    <sheetView showGridLines="0" zoomScaleNormal="100" workbookViewId="0">
      <selection activeCell="E52" sqref="E52"/>
    </sheetView>
  </sheetViews>
  <sheetFormatPr defaultColWidth="9.109375" defaultRowHeight="14.4" x14ac:dyDescent="0.3"/>
  <cols>
    <col min="1" max="1" width="1.109375" customWidth="1"/>
    <col min="2" max="2" width="22.6640625" customWidth="1"/>
    <col min="3" max="10" width="12.33203125" customWidth="1"/>
    <col min="11" max="11" width="1.109375" customWidth="1"/>
    <col min="12" max="12" width="22.6640625" customWidth="1"/>
    <col min="13" max="20" width="12.33203125" customWidth="1"/>
  </cols>
  <sheetData>
    <row r="1" spans="2:14" x14ac:dyDescent="0.3">
      <c r="B1" s="86" t="s">
        <v>153</v>
      </c>
    </row>
    <row r="2" spans="2:14" x14ac:dyDescent="0.3">
      <c r="B2" s="86"/>
    </row>
    <row r="3" spans="2:14" x14ac:dyDescent="0.3">
      <c r="B3" s="86"/>
    </row>
    <row r="4" spans="2:14" x14ac:dyDescent="0.3">
      <c r="B4" s="6"/>
      <c r="I4" s="6"/>
      <c r="L4" s="6"/>
    </row>
    <row r="5" spans="2:14" ht="12.6" customHeight="1" x14ac:dyDescent="0.3">
      <c r="B5" s="6"/>
    </row>
    <row r="6" spans="2:14" ht="21" customHeight="1" x14ac:dyDescent="0.3">
      <c r="C6" s="8"/>
      <c r="D6" s="9"/>
      <c r="E6" s="9"/>
      <c r="F6" s="9"/>
      <c r="H6" s="6"/>
    </row>
    <row r="7" spans="2:14" s="5" customFormat="1" ht="21" customHeight="1" x14ac:dyDescent="0.3">
      <c r="C7" s="9"/>
      <c r="D7" s="9"/>
      <c r="E7" s="9"/>
      <c r="F7" s="9"/>
      <c r="H7" s="210"/>
      <c r="I7" s="210"/>
      <c r="J7" s="210"/>
      <c r="K7" s="210"/>
      <c r="L7" s="210"/>
      <c r="M7" s="210"/>
      <c r="N7" s="210"/>
    </row>
    <row r="8" spans="2:14" ht="21" customHeight="1" x14ac:dyDescent="0.3">
      <c r="D8" s="1"/>
      <c r="E8" s="1"/>
      <c r="F8" s="1"/>
      <c r="G8" s="7"/>
    </row>
    <row r="9" spans="2:14" ht="21" customHeight="1" x14ac:dyDescent="0.3">
      <c r="D9" s="1"/>
      <c r="E9" s="1"/>
      <c r="F9" s="1"/>
      <c r="G9" s="7"/>
    </row>
    <row r="10" spans="2:14" ht="21" customHeight="1" x14ac:dyDescent="0.3">
      <c r="D10" s="1"/>
      <c r="E10" s="1"/>
      <c r="F10" s="1"/>
      <c r="G10" s="7"/>
    </row>
    <row r="11" spans="2:14" ht="21" customHeight="1" x14ac:dyDescent="0.3">
      <c r="D11" s="1"/>
      <c r="E11" s="1"/>
      <c r="F11" s="1"/>
      <c r="G11" s="7"/>
    </row>
    <row r="12" spans="2:14" ht="21" customHeight="1" x14ac:dyDescent="0.3">
      <c r="D12" s="1"/>
      <c r="E12" s="1"/>
      <c r="F12" s="10"/>
      <c r="G12" s="7"/>
    </row>
    <row r="13" spans="2:14" ht="21" customHeight="1" x14ac:dyDescent="0.3">
      <c r="D13" s="1"/>
      <c r="E13" s="2"/>
      <c r="F13" s="2"/>
      <c r="G13" s="7"/>
    </row>
    <row r="14" spans="2:14" ht="21" customHeight="1" x14ac:dyDescent="0.3">
      <c r="B14" s="86"/>
      <c r="D14" s="1"/>
      <c r="E14" s="2"/>
      <c r="F14" s="2"/>
      <c r="G14" s="7"/>
    </row>
    <row r="15" spans="2:14" ht="21" customHeight="1" x14ac:dyDescent="0.3">
      <c r="D15" s="1"/>
      <c r="E15" s="2"/>
      <c r="F15" s="2"/>
      <c r="G15" s="7"/>
    </row>
    <row r="16" spans="2:14" ht="21" customHeight="1" x14ac:dyDescent="0.3">
      <c r="D16" s="1"/>
      <c r="E16" s="2"/>
      <c r="F16" s="2"/>
      <c r="G16" s="7"/>
    </row>
    <row r="27" spans="2:2" x14ac:dyDescent="0.3">
      <c r="B27" s="86"/>
    </row>
    <row r="41" spans="2:2" x14ac:dyDescent="0.3">
      <c r="B41" s="86"/>
    </row>
  </sheetData>
  <mergeCells count="1">
    <mergeCell ref="H7:N7"/>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Earnings Model</vt:lpstr>
      <vt:lpstr>Charts</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2020-07-25T17:51:53Z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