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ml.chartshapes+xml"/>
  <Override PartName="/xl/drawings/drawing4.xml" ContentType="application/vnd.openxmlformats-officedocument.drawing+xml"/>
  <Override PartName="/xl/charts/chart3.xml" ContentType="application/vnd.openxmlformats-officedocument.drawingml.chart+xml"/>
  <Override PartName="/xl/charts/style1.xml" ContentType="application/vnd.ms-office.chartstyle+xml"/>
  <Override PartName="/xl/charts/colors1.xml" ContentType="application/vnd.ms-office.chartcolorstyle+xml"/>
  <Override PartName="/xl/charts/chart4.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codeName="ThisWorkbook" defaultThemeVersion="124226"/>
  <mc:AlternateContent xmlns:mc="http://schemas.openxmlformats.org/markup-compatibility/2006">
    <mc:Choice Requires="x15">
      <x15ac:absPath xmlns:x15ac="http://schemas.microsoft.com/office/spreadsheetml/2010/11/ac" url="C:\Users\Admin\Documents\Gutenberg\2-INTERN PROGRAM\2Q2020 Earnings Season (FB)\Intern Submissions\second round\"/>
    </mc:Choice>
  </mc:AlternateContent>
  <xr:revisionPtr revIDLastSave="0" documentId="13_ncr:1_{33849ED0-D42C-4DF2-9A22-240D8E9A1542}" xr6:coauthVersionLast="45" xr6:coauthVersionMax="45" xr10:uidLastSave="{00000000-0000-0000-0000-000000000000}"/>
  <bookViews>
    <workbookView xWindow="28425" yWindow="7830" windowWidth="21600" windowHeight="11775" tabRatio="767" xr2:uid="{00000000-000D-0000-FFFF-FFFF00000000}"/>
  </bookViews>
  <sheets>
    <sheet name="Earnings Model" sheetId="3" r:id="rId1"/>
    <sheet name="Charts" sheetId="21" r:id="rId2"/>
    <sheet name="Revenue Progression" sheetId="40" r:id="rId3"/>
  </sheets>
  <definedNames>
    <definedName name="DATA" localSheetId="1">#REF!</definedName>
    <definedName name="DATA">#REF!</definedName>
    <definedName name="_xlnm.Print_Area" localSheetId="0">'Earnings Model'!$B$2:$AG$90</definedName>
  </definedNames>
  <calcPr calcId="191029"/>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D1" i="40" l="1"/>
  <c r="E1" i="40"/>
  <c r="F1" i="40"/>
  <c r="G1" i="40"/>
  <c r="H1" i="40"/>
  <c r="I1" i="40"/>
  <c r="J1" i="40"/>
  <c r="K1" i="40"/>
  <c r="L1" i="40"/>
  <c r="D2" i="40"/>
  <c r="E2" i="40"/>
  <c r="F2" i="40"/>
  <c r="G2" i="40"/>
  <c r="H2" i="40"/>
  <c r="I2" i="40"/>
  <c r="J2" i="40"/>
  <c r="K2" i="40"/>
  <c r="L2" i="40"/>
  <c r="D3" i="40"/>
  <c r="E3" i="40"/>
  <c r="F3" i="40"/>
  <c r="G3" i="40"/>
  <c r="H3" i="40"/>
  <c r="I3" i="40"/>
  <c r="J3" i="40"/>
  <c r="K3" i="40"/>
  <c r="L3" i="40"/>
  <c r="U43" i="3"/>
  <c r="V43" i="3"/>
  <c r="X43" i="3"/>
  <c r="T43" i="3"/>
  <c r="Y43" i="3"/>
  <c r="Z43" i="3"/>
  <c r="Z42" i="3"/>
  <c r="Y42" i="3"/>
  <c r="U53" i="3"/>
  <c r="V53" i="3"/>
  <c r="X53" i="3"/>
  <c r="T53" i="3"/>
  <c r="Y53" i="3"/>
  <c r="Z53" i="3"/>
  <c r="Z52" i="3"/>
  <c r="Z36" i="3"/>
  <c r="U45" i="3"/>
  <c r="V45" i="3"/>
  <c r="X45" i="3"/>
  <c r="T45" i="3"/>
  <c r="Y45" i="3"/>
  <c r="Z45" i="3"/>
  <c r="Z44" i="3"/>
  <c r="Y44" i="3"/>
  <c r="U55" i="3"/>
  <c r="V55" i="3"/>
  <c r="X55" i="3"/>
  <c r="T55" i="3"/>
  <c r="Y55" i="3"/>
  <c r="Z55" i="3"/>
  <c r="Z54" i="3"/>
  <c r="Z37" i="3"/>
  <c r="U47" i="3"/>
  <c r="V47" i="3"/>
  <c r="X47" i="3"/>
  <c r="T47" i="3"/>
  <c r="Y47" i="3"/>
  <c r="Z47" i="3"/>
  <c r="Z46" i="3"/>
  <c r="Y46" i="3"/>
  <c r="U57" i="3"/>
  <c r="V57" i="3"/>
  <c r="X57" i="3"/>
  <c r="T57" i="3"/>
  <c r="Y57" i="3"/>
  <c r="Z57" i="3"/>
  <c r="Z56" i="3"/>
  <c r="Z38" i="3"/>
  <c r="U49" i="3"/>
  <c r="V49" i="3"/>
  <c r="X49" i="3"/>
  <c r="T49" i="3"/>
  <c r="Y49" i="3"/>
  <c r="Z49" i="3"/>
  <c r="Z48" i="3"/>
  <c r="Y48" i="3"/>
  <c r="U59" i="3"/>
  <c r="V59" i="3"/>
  <c r="X59" i="3"/>
  <c r="T59" i="3"/>
  <c r="Y59" i="3"/>
  <c r="Z59" i="3"/>
  <c r="Z58" i="3"/>
  <c r="Z39" i="3"/>
  <c r="Z40" i="3"/>
  <c r="Z13" i="3"/>
  <c r="AA43" i="3"/>
  <c r="AA42" i="3"/>
  <c r="AA53" i="3"/>
  <c r="AA52" i="3"/>
  <c r="AA36" i="3"/>
  <c r="AA45" i="3"/>
  <c r="AA44" i="3"/>
  <c r="AA55" i="3"/>
  <c r="AA54" i="3"/>
  <c r="AA37" i="3"/>
  <c r="AA47" i="3"/>
  <c r="AA46" i="3"/>
  <c r="AA57" i="3"/>
  <c r="AA56" i="3"/>
  <c r="AA38" i="3"/>
  <c r="AA49" i="3"/>
  <c r="AA48" i="3"/>
  <c r="AA59" i="3"/>
  <c r="AA58" i="3"/>
  <c r="AA39" i="3"/>
  <c r="AA40" i="3"/>
  <c r="AA13" i="3"/>
  <c r="Y52" i="3"/>
  <c r="Y36" i="3"/>
  <c r="Y54" i="3"/>
  <c r="Y37" i="3"/>
  <c r="Y56" i="3"/>
  <c r="Y38" i="3"/>
  <c r="Y58" i="3"/>
  <c r="Y39" i="3"/>
  <c r="Y40" i="3"/>
  <c r="Y13" i="3"/>
  <c r="AB13" i="3"/>
  <c r="AC43" i="3"/>
  <c r="AC42" i="3"/>
  <c r="AC53" i="3"/>
  <c r="AC52" i="3"/>
  <c r="AC36" i="3"/>
  <c r="AC45" i="3"/>
  <c r="AC44" i="3"/>
  <c r="AC55" i="3"/>
  <c r="AC54" i="3"/>
  <c r="AC37" i="3"/>
  <c r="AC47" i="3"/>
  <c r="AC46" i="3"/>
  <c r="AC57" i="3"/>
  <c r="AC56" i="3"/>
  <c r="AC38" i="3"/>
  <c r="AC49" i="3"/>
  <c r="AC48" i="3"/>
  <c r="AC59" i="3"/>
  <c r="AC58" i="3"/>
  <c r="AC39" i="3"/>
  <c r="AC40" i="3"/>
  <c r="AC13" i="3"/>
  <c r="AD43" i="3"/>
  <c r="AD42" i="3"/>
  <c r="AD53" i="3"/>
  <c r="AD52" i="3"/>
  <c r="AD36" i="3"/>
  <c r="AD45" i="3"/>
  <c r="AD44" i="3"/>
  <c r="AD55" i="3"/>
  <c r="AD54" i="3"/>
  <c r="AD37" i="3"/>
  <c r="AD47" i="3"/>
  <c r="AD46" i="3"/>
  <c r="AD57" i="3"/>
  <c r="AD56" i="3"/>
  <c r="AD38" i="3"/>
  <c r="AD49" i="3"/>
  <c r="AD48" i="3"/>
  <c r="AD59" i="3"/>
  <c r="AD58" i="3"/>
  <c r="AD39" i="3"/>
  <c r="AD40" i="3"/>
  <c r="AD13" i="3"/>
  <c r="AE43" i="3"/>
  <c r="AE42" i="3"/>
  <c r="AE53" i="3"/>
  <c r="AE52" i="3"/>
  <c r="AE36" i="3"/>
  <c r="AE45" i="3"/>
  <c r="AE44" i="3"/>
  <c r="AE55" i="3"/>
  <c r="AE54" i="3"/>
  <c r="AE37" i="3"/>
  <c r="AE47" i="3"/>
  <c r="AE46" i="3"/>
  <c r="AE57" i="3"/>
  <c r="AE56" i="3"/>
  <c r="AE38" i="3"/>
  <c r="AE49" i="3"/>
  <c r="AE48" i="3"/>
  <c r="AE59" i="3"/>
  <c r="AE58" i="3"/>
  <c r="AE39" i="3"/>
  <c r="AE40" i="3"/>
  <c r="AE13" i="3"/>
  <c r="AF43" i="3"/>
  <c r="AF42" i="3"/>
  <c r="AF53" i="3"/>
  <c r="AF52" i="3"/>
  <c r="AF36" i="3"/>
  <c r="AF45" i="3"/>
  <c r="AF44" i="3"/>
  <c r="AF55" i="3"/>
  <c r="AF54" i="3"/>
  <c r="AF37" i="3"/>
  <c r="AF47" i="3"/>
  <c r="AF46" i="3"/>
  <c r="AF57" i="3"/>
  <c r="AF56" i="3"/>
  <c r="AF38" i="3"/>
  <c r="AF49" i="3"/>
  <c r="AF48" i="3"/>
  <c r="AF59" i="3"/>
  <c r="AF58" i="3"/>
  <c r="AF39" i="3"/>
  <c r="AF40" i="3"/>
  <c r="AF13" i="3"/>
  <c r="AG13" i="3"/>
  <c r="V88" i="3"/>
  <c r="Y88" i="3"/>
  <c r="V86" i="3"/>
  <c r="Y86" i="3"/>
  <c r="A7" i="40"/>
  <c r="B7" i="40"/>
  <c r="C7" i="40"/>
  <c r="M1" i="40"/>
  <c r="N1" i="40"/>
  <c r="O1" i="40"/>
  <c r="D7" i="40"/>
  <c r="P1" i="40"/>
  <c r="A8" i="40"/>
  <c r="B8" i="40"/>
  <c r="C8" i="40"/>
  <c r="M2" i="40"/>
  <c r="N2" i="40"/>
  <c r="O2" i="40"/>
  <c r="D8" i="40"/>
  <c r="P2" i="40"/>
  <c r="H13" i="3"/>
  <c r="A9" i="40"/>
  <c r="M13" i="3"/>
  <c r="B9" i="40"/>
  <c r="R13" i="3"/>
  <c r="C9" i="40"/>
  <c r="M3" i="40"/>
  <c r="N3" i="40"/>
  <c r="V13" i="3"/>
  <c r="O3" i="40"/>
  <c r="W13" i="3"/>
  <c r="D9" i="40"/>
  <c r="P3" i="40"/>
  <c r="V89" i="3"/>
  <c r="Y89" i="3"/>
  <c r="Z84" i="3"/>
  <c r="AA84" i="3"/>
  <c r="V22" i="3"/>
  <c r="Y22" i="3"/>
  <c r="Y84" i="3"/>
  <c r="T81" i="3"/>
  <c r="T80" i="3"/>
  <c r="T82" i="3"/>
  <c r="T79" i="3"/>
  <c r="U81" i="3"/>
  <c r="U80" i="3"/>
  <c r="U82" i="3"/>
  <c r="U79" i="3"/>
  <c r="V81" i="3"/>
  <c r="V80" i="3"/>
  <c r="V82" i="3"/>
  <c r="V79" i="3"/>
  <c r="X81" i="3"/>
  <c r="X80" i="3"/>
  <c r="X82" i="3"/>
  <c r="X79" i="3"/>
  <c r="Y79" i="3"/>
  <c r="D15" i="3"/>
  <c r="D20" i="3"/>
  <c r="D21" i="3"/>
  <c r="D23" i="3"/>
  <c r="D25" i="3"/>
  <c r="E15" i="3"/>
  <c r="E20" i="3"/>
  <c r="E21" i="3"/>
  <c r="E23" i="3"/>
  <c r="E25" i="3"/>
  <c r="F15" i="3"/>
  <c r="F20" i="3"/>
  <c r="F21" i="3"/>
  <c r="F23" i="3"/>
  <c r="F25" i="3"/>
  <c r="G15" i="3"/>
  <c r="G17" i="3"/>
  <c r="G18" i="3"/>
  <c r="G19" i="3"/>
  <c r="G20" i="3"/>
  <c r="G21" i="3"/>
  <c r="G23" i="3"/>
  <c r="G24" i="3"/>
  <c r="G25" i="3"/>
  <c r="I15" i="3"/>
  <c r="I20" i="3"/>
  <c r="I21" i="3"/>
  <c r="I23" i="3"/>
  <c r="I25" i="3"/>
  <c r="J15" i="3"/>
  <c r="J20" i="3"/>
  <c r="J21" i="3"/>
  <c r="J23" i="3"/>
  <c r="J25" i="3"/>
  <c r="K15" i="3"/>
  <c r="K20" i="3"/>
  <c r="K21" i="3"/>
  <c r="K23" i="3"/>
  <c r="K25" i="3"/>
  <c r="L15" i="3"/>
  <c r="L20" i="3"/>
  <c r="L21" i="3"/>
  <c r="L23" i="3"/>
  <c r="L25" i="3"/>
  <c r="N15" i="3"/>
  <c r="N20" i="3"/>
  <c r="N21" i="3"/>
  <c r="N23" i="3"/>
  <c r="N25" i="3"/>
  <c r="O15" i="3"/>
  <c r="O20" i="3"/>
  <c r="O21" i="3"/>
  <c r="O23" i="3"/>
  <c r="O25" i="3"/>
  <c r="P15" i="3"/>
  <c r="P20" i="3"/>
  <c r="P21" i="3"/>
  <c r="P23" i="3"/>
  <c r="P25" i="3"/>
  <c r="Q15" i="3"/>
  <c r="Q20" i="3"/>
  <c r="Q21" i="3"/>
  <c r="Q23" i="3"/>
  <c r="Q25" i="3"/>
  <c r="S15" i="3"/>
  <c r="S20" i="3"/>
  <c r="S21" i="3"/>
  <c r="S23" i="3"/>
  <c r="S25" i="3"/>
  <c r="T15" i="3"/>
  <c r="T20" i="3"/>
  <c r="T21" i="3"/>
  <c r="T23" i="3"/>
  <c r="T25" i="3"/>
  <c r="U15" i="3"/>
  <c r="U20" i="3"/>
  <c r="U21" i="3"/>
  <c r="U23" i="3"/>
  <c r="U25" i="3"/>
  <c r="V14" i="3"/>
  <c r="V15" i="3"/>
  <c r="V17" i="3"/>
  <c r="V18" i="3"/>
  <c r="V19" i="3"/>
  <c r="V20" i="3"/>
  <c r="V21" i="3"/>
  <c r="V23" i="3"/>
  <c r="V24" i="3"/>
  <c r="V25" i="3"/>
  <c r="X15" i="3"/>
  <c r="X20" i="3"/>
  <c r="X21" i="3"/>
  <c r="X23" i="3"/>
  <c r="X25" i="3"/>
  <c r="Y81" i="3"/>
  <c r="Y14" i="3"/>
  <c r="Y15" i="3"/>
  <c r="Y17" i="3"/>
  <c r="Y18" i="3"/>
  <c r="Y19" i="3"/>
  <c r="Y20" i="3"/>
  <c r="Y21" i="3"/>
  <c r="Y23" i="3"/>
  <c r="Y24" i="3"/>
  <c r="Y25" i="3"/>
  <c r="Z81" i="3"/>
  <c r="Z14" i="3"/>
  <c r="Z15" i="3"/>
  <c r="Z17" i="3"/>
  <c r="Z18" i="3"/>
  <c r="Z19" i="3"/>
  <c r="Z20" i="3"/>
  <c r="Z21" i="3"/>
  <c r="Z22" i="3"/>
  <c r="Z23" i="3"/>
  <c r="Z24" i="3"/>
  <c r="Z25" i="3"/>
  <c r="AA81" i="3"/>
  <c r="AA14" i="3"/>
  <c r="AA15" i="3"/>
  <c r="AA17" i="3"/>
  <c r="AA18" i="3"/>
  <c r="AA19" i="3"/>
  <c r="AA20" i="3"/>
  <c r="AA21" i="3"/>
  <c r="AA22" i="3"/>
  <c r="AA23" i="3"/>
  <c r="AA24" i="3"/>
  <c r="AA25" i="3"/>
  <c r="AC81" i="3"/>
  <c r="AC14" i="3"/>
  <c r="AC15" i="3"/>
  <c r="AC17" i="3"/>
  <c r="AC18" i="3"/>
  <c r="AC19" i="3"/>
  <c r="AC20" i="3"/>
  <c r="AC21" i="3"/>
  <c r="AC22" i="3"/>
  <c r="AC23" i="3"/>
  <c r="X76" i="3"/>
  <c r="AC76" i="3"/>
  <c r="AC24" i="3"/>
  <c r="AC25" i="3"/>
  <c r="AD81" i="3"/>
  <c r="AD14" i="3"/>
  <c r="AD15" i="3"/>
  <c r="AD17" i="3"/>
  <c r="AD18" i="3"/>
  <c r="AD19" i="3"/>
  <c r="AD20" i="3"/>
  <c r="AD21" i="3"/>
  <c r="AD22" i="3"/>
  <c r="AD23" i="3"/>
  <c r="AD76" i="3"/>
  <c r="AD24" i="3"/>
  <c r="AD25" i="3"/>
  <c r="AE81" i="3"/>
  <c r="AE14" i="3"/>
  <c r="AE15" i="3"/>
  <c r="AE70" i="3"/>
  <c r="AE17" i="3"/>
  <c r="AE71" i="3"/>
  <c r="AE18" i="3"/>
  <c r="AE72" i="3"/>
  <c r="AE19" i="3"/>
  <c r="AE20" i="3"/>
  <c r="AE21" i="3"/>
  <c r="AE22" i="3"/>
  <c r="AE23" i="3"/>
  <c r="AE76" i="3"/>
  <c r="AE24" i="3"/>
  <c r="AE25" i="3"/>
  <c r="AF81" i="3"/>
  <c r="AF14" i="3"/>
  <c r="AF15" i="3"/>
  <c r="AF70" i="3"/>
  <c r="AF17" i="3"/>
  <c r="AF18" i="3"/>
  <c r="AF19" i="3"/>
  <c r="AF20" i="3"/>
  <c r="AF21" i="3"/>
  <c r="AF22" i="3"/>
  <c r="AF23" i="3"/>
  <c r="AF76" i="3"/>
  <c r="AF24" i="3"/>
  <c r="AF25" i="3"/>
  <c r="H14" i="3"/>
  <c r="H15" i="3"/>
  <c r="H17" i="3"/>
  <c r="H18" i="3"/>
  <c r="H19" i="3"/>
  <c r="H20" i="3"/>
  <c r="H21" i="3"/>
  <c r="H22" i="3"/>
  <c r="H23" i="3"/>
  <c r="H24" i="3"/>
  <c r="H25" i="3"/>
  <c r="M14" i="3"/>
  <c r="M15" i="3"/>
  <c r="M17" i="3"/>
  <c r="M18" i="3"/>
  <c r="M19" i="3"/>
  <c r="M20" i="3"/>
  <c r="M21" i="3"/>
  <c r="M22" i="3"/>
  <c r="M23" i="3"/>
  <c r="M24" i="3"/>
  <c r="M25" i="3"/>
  <c r="R14" i="3"/>
  <c r="R15" i="3"/>
  <c r="R17" i="3"/>
  <c r="R18" i="3"/>
  <c r="R19" i="3"/>
  <c r="R20" i="3"/>
  <c r="R21" i="3"/>
  <c r="R22" i="3"/>
  <c r="R23" i="3"/>
  <c r="R24" i="3"/>
  <c r="R25" i="3"/>
  <c r="W14" i="3"/>
  <c r="W15" i="3"/>
  <c r="W17" i="3"/>
  <c r="W18" i="3"/>
  <c r="W19" i="3"/>
  <c r="W20" i="3"/>
  <c r="W21" i="3"/>
  <c r="W22" i="3"/>
  <c r="W23" i="3"/>
  <c r="W24" i="3"/>
  <c r="W25" i="3"/>
  <c r="AB14" i="3"/>
  <c r="AB15" i="3"/>
  <c r="AB17" i="3"/>
  <c r="AB18" i="3"/>
  <c r="AB19" i="3"/>
  <c r="AB20" i="3"/>
  <c r="AB21" i="3"/>
  <c r="AB22" i="3"/>
  <c r="AB23" i="3"/>
  <c r="AB24" i="3"/>
  <c r="AB25" i="3"/>
  <c r="AG14" i="3"/>
  <c r="AG15" i="3"/>
  <c r="AG17" i="3"/>
  <c r="AG18" i="3"/>
  <c r="AG19" i="3"/>
  <c r="AG20" i="3"/>
  <c r="AG21" i="3"/>
  <c r="AG22" i="3"/>
  <c r="AG23" i="3"/>
  <c r="AG24" i="3"/>
  <c r="AG25" i="3"/>
  <c r="W29" i="3"/>
  <c r="Y82" i="3"/>
  <c r="Y29" i="3"/>
  <c r="Z79" i="3"/>
  <c r="Z80" i="3"/>
  <c r="Z82" i="3"/>
  <c r="Z29" i="3"/>
  <c r="AA79" i="3"/>
  <c r="AA80" i="3"/>
  <c r="AA82" i="3"/>
  <c r="AA29" i="3"/>
  <c r="AB29" i="3"/>
  <c r="AC79" i="3"/>
  <c r="AC80" i="3"/>
  <c r="AC82" i="3"/>
  <c r="AC29" i="3"/>
  <c r="AD79" i="3"/>
  <c r="AD80" i="3"/>
  <c r="AD82" i="3"/>
  <c r="AD29" i="3"/>
  <c r="AE79" i="3"/>
  <c r="AE80" i="3"/>
  <c r="AE82" i="3"/>
  <c r="AE29" i="3"/>
  <c r="AF79" i="3"/>
  <c r="AF80" i="3"/>
  <c r="AF82" i="3"/>
  <c r="AF29" i="3"/>
  <c r="AG29" i="3"/>
  <c r="U31" i="3"/>
  <c r="V31" i="3"/>
  <c r="X31" i="3"/>
  <c r="Y31" i="3"/>
  <c r="AD84" i="3"/>
  <c r="AE84" i="3"/>
  <c r="AF84" i="3"/>
  <c r="X69" i="3"/>
  <c r="X70" i="3"/>
  <c r="X71" i="3"/>
  <c r="X72" i="3"/>
  <c r="AG73" i="3"/>
  <c r="AB73" i="3"/>
  <c r="W73" i="3"/>
  <c r="R73" i="3"/>
  <c r="M73" i="3"/>
  <c r="H73" i="3"/>
  <c r="T76" i="3"/>
  <c r="U76" i="3"/>
  <c r="V76" i="3"/>
  <c r="X78" i="3"/>
  <c r="V78" i="3"/>
  <c r="V69" i="3"/>
  <c r="V70" i="3"/>
  <c r="V71" i="3"/>
  <c r="V72" i="3"/>
  <c r="V87" i="3"/>
  <c r="Z89" i="3"/>
  <c r="AA89" i="3"/>
  <c r="AC89" i="3"/>
  <c r="AD89" i="3"/>
  <c r="AE89" i="3"/>
  <c r="AF89" i="3"/>
  <c r="Z88" i="3"/>
  <c r="AA88" i="3"/>
  <c r="AC88" i="3"/>
  <c r="AD88" i="3"/>
  <c r="AE88" i="3"/>
  <c r="AF88" i="3"/>
  <c r="Y87" i="3"/>
  <c r="Z87" i="3"/>
  <c r="AA87" i="3"/>
  <c r="AC87" i="3"/>
  <c r="AD87" i="3"/>
  <c r="AE87" i="3"/>
  <c r="AF87" i="3"/>
  <c r="Z86" i="3"/>
  <c r="AA86" i="3"/>
  <c r="AC86" i="3"/>
  <c r="AD86" i="3"/>
  <c r="AE86" i="3"/>
  <c r="AF86" i="3"/>
  <c r="AG89" i="3"/>
  <c r="AG88" i="3"/>
  <c r="AG87" i="3"/>
  <c r="AG86" i="3"/>
  <c r="AB89" i="3"/>
  <c r="AB88" i="3"/>
  <c r="AB87" i="3"/>
  <c r="AB86" i="3"/>
  <c r="W89" i="3"/>
  <c r="W88" i="3"/>
  <c r="W87" i="3"/>
  <c r="W86" i="3"/>
  <c r="R87" i="3"/>
  <c r="R88" i="3"/>
  <c r="R89" i="3"/>
  <c r="R86" i="3"/>
  <c r="V26" i="3"/>
  <c r="U78" i="3"/>
  <c r="U70" i="3"/>
  <c r="U71" i="3"/>
  <c r="U72" i="3"/>
  <c r="U69" i="3"/>
  <c r="S53" i="3"/>
  <c r="P53" i="3"/>
  <c r="Q53" i="3"/>
  <c r="P43" i="3"/>
  <c r="Q43" i="3"/>
  <c r="S43" i="3"/>
  <c r="P45" i="3"/>
  <c r="Q45" i="3"/>
  <c r="S45" i="3"/>
  <c r="P55" i="3"/>
  <c r="Q55" i="3"/>
  <c r="S55" i="3"/>
  <c r="P47" i="3"/>
  <c r="Q47" i="3"/>
  <c r="S47" i="3"/>
  <c r="P57" i="3"/>
  <c r="Q57" i="3"/>
  <c r="S57" i="3"/>
  <c r="P49" i="3"/>
  <c r="Q49" i="3"/>
  <c r="S49" i="3"/>
  <c r="P59" i="3"/>
  <c r="Q59" i="3"/>
  <c r="S59" i="3"/>
  <c r="U40" i="3"/>
  <c r="P81" i="3"/>
  <c r="P82" i="3"/>
  <c r="P79" i="3"/>
  <c r="Q81" i="3"/>
  <c r="Q82" i="3"/>
  <c r="Q79" i="3"/>
  <c r="S82" i="3"/>
  <c r="S79" i="3"/>
  <c r="V40" i="3"/>
  <c r="X40" i="3"/>
  <c r="T78" i="3"/>
  <c r="P78" i="3"/>
  <c r="Q78" i="3"/>
  <c r="S78" i="3"/>
  <c r="T72" i="3"/>
  <c r="T71" i="3"/>
  <c r="T70" i="3"/>
  <c r="T69" i="3"/>
  <c r="O43" i="3"/>
  <c r="O53" i="3"/>
  <c r="O45" i="3"/>
  <c r="O55" i="3"/>
  <c r="O47" i="3"/>
  <c r="O57" i="3"/>
  <c r="O49" i="3"/>
  <c r="O59" i="3"/>
  <c r="T40" i="3"/>
  <c r="O81" i="3"/>
  <c r="O82" i="3"/>
  <c r="O79" i="3"/>
  <c r="T31" i="3"/>
  <c r="Y74" i="3"/>
  <c r="Z74" i="3"/>
  <c r="AA74" i="3"/>
  <c r="U66" i="3"/>
  <c r="V66" i="3"/>
  <c r="S66" i="3"/>
  <c r="T66" i="3"/>
  <c r="W66" i="3"/>
  <c r="W67" i="3"/>
  <c r="N53" i="3"/>
  <c r="AC66" i="3"/>
  <c r="AD66" i="3"/>
  <c r="AE66" i="3"/>
  <c r="AF66" i="3"/>
  <c r="AG66" i="3"/>
  <c r="AG67" i="3"/>
  <c r="AF67" i="3"/>
  <c r="AE67" i="3"/>
  <c r="AD67" i="3"/>
  <c r="AC67" i="3"/>
  <c r="X66" i="3"/>
  <c r="X67" i="3"/>
  <c r="Y66" i="3"/>
  <c r="Z66" i="3"/>
  <c r="AA66" i="3"/>
  <c r="AB66" i="3"/>
  <c r="AB67" i="3"/>
  <c r="AA67" i="3"/>
  <c r="Z67" i="3"/>
  <c r="Y67" i="3"/>
  <c r="T67" i="3"/>
  <c r="U67" i="3"/>
  <c r="V67" i="3"/>
  <c r="S67" i="3"/>
  <c r="N66" i="3"/>
  <c r="S76" i="3"/>
  <c r="S72" i="3"/>
  <c r="S71" i="3"/>
  <c r="S70" i="3"/>
  <c r="S69" i="3"/>
  <c r="N43" i="3"/>
  <c r="N45" i="3"/>
  <c r="N55" i="3"/>
  <c r="N47" i="3"/>
  <c r="N57" i="3"/>
  <c r="N49" i="3"/>
  <c r="N59" i="3"/>
  <c r="S40" i="3"/>
  <c r="N70" i="3"/>
  <c r="O70" i="3"/>
  <c r="P70" i="3"/>
  <c r="Q70" i="3"/>
  <c r="N71" i="3"/>
  <c r="O71" i="3"/>
  <c r="P71" i="3"/>
  <c r="Q71" i="3"/>
  <c r="N72" i="3"/>
  <c r="O72" i="3"/>
  <c r="P72" i="3"/>
  <c r="Q72" i="3"/>
  <c r="N81" i="3"/>
  <c r="N82" i="3"/>
  <c r="N79" i="3"/>
  <c r="S31" i="3"/>
  <c r="Q66" i="3"/>
  <c r="O66" i="3"/>
  <c r="P66" i="3"/>
  <c r="R67" i="3"/>
  <c r="Q65" i="3"/>
  <c r="P65" i="3"/>
  <c r="O65" i="3"/>
  <c r="N65" i="3"/>
  <c r="I65" i="3"/>
  <c r="F65" i="3"/>
  <c r="G65" i="3"/>
  <c r="J65" i="3"/>
  <c r="K65" i="3"/>
  <c r="L65" i="3"/>
  <c r="E65" i="3"/>
  <c r="W84" i="3"/>
  <c r="N69" i="3"/>
  <c r="O69" i="3"/>
  <c r="P69" i="3"/>
  <c r="Q69" i="3"/>
  <c r="R74" i="3"/>
  <c r="O74" i="3"/>
  <c r="Q74" i="3"/>
  <c r="P74" i="3"/>
  <c r="N74" i="3"/>
  <c r="I74" i="3"/>
  <c r="K74" i="3"/>
  <c r="L74" i="3"/>
  <c r="N76" i="3"/>
  <c r="O76" i="3"/>
  <c r="P76" i="3"/>
  <c r="Q76" i="3"/>
  <c r="Q40" i="3"/>
  <c r="Q62" i="3"/>
  <c r="P40" i="3"/>
  <c r="P62" i="3"/>
  <c r="O40" i="3"/>
  <c r="O62" i="3"/>
  <c r="N40" i="3"/>
  <c r="N62" i="3"/>
  <c r="L40" i="3"/>
  <c r="L62" i="3"/>
  <c r="K40" i="3"/>
  <c r="K62" i="3"/>
  <c r="J40" i="3"/>
  <c r="J62" i="3"/>
  <c r="I40" i="3"/>
  <c r="I62" i="3"/>
  <c r="E40" i="3"/>
  <c r="E62" i="3"/>
  <c r="F40" i="3"/>
  <c r="F62" i="3"/>
  <c r="G40" i="3"/>
  <c r="G62" i="3"/>
  <c r="D40" i="3"/>
  <c r="D62" i="3"/>
  <c r="N78" i="3"/>
  <c r="W82" i="3"/>
  <c r="R81" i="3"/>
  <c r="I81" i="3"/>
  <c r="J81" i="3"/>
  <c r="K81" i="3"/>
  <c r="L81" i="3"/>
  <c r="M81" i="3"/>
  <c r="L82" i="3"/>
  <c r="F76" i="3"/>
  <c r="G76" i="3"/>
  <c r="I76" i="3"/>
  <c r="J76" i="3"/>
  <c r="K76" i="3"/>
  <c r="L76" i="3"/>
  <c r="R76" i="3"/>
  <c r="E70" i="3"/>
  <c r="F70" i="3"/>
  <c r="G70" i="3"/>
  <c r="I70" i="3"/>
  <c r="J70" i="3"/>
  <c r="K70" i="3"/>
  <c r="L70" i="3"/>
  <c r="M70" i="3"/>
  <c r="R70" i="3"/>
  <c r="E71" i="3"/>
  <c r="F71" i="3"/>
  <c r="G71" i="3"/>
  <c r="H71" i="3"/>
  <c r="I71" i="3"/>
  <c r="J71" i="3"/>
  <c r="K71" i="3"/>
  <c r="L71" i="3"/>
  <c r="M71" i="3"/>
  <c r="R71" i="3"/>
  <c r="E72" i="3"/>
  <c r="F72" i="3"/>
  <c r="G72" i="3"/>
  <c r="H72" i="3"/>
  <c r="I72" i="3"/>
  <c r="J72" i="3"/>
  <c r="K72" i="3"/>
  <c r="L72" i="3"/>
  <c r="M72" i="3"/>
  <c r="R72" i="3"/>
  <c r="D72" i="3"/>
  <c r="D71" i="3"/>
  <c r="D70" i="3"/>
  <c r="E69" i="3"/>
  <c r="F69" i="3"/>
  <c r="G69" i="3"/>
  <c r="H69" i="3"/>
  <c r="I69" i="3"/>
  <c r="J69" i="3"/>
  <c r="K69" i="3"/>
  <c r="L69" i="3"/>
  <c r="M69" i="3"/>
  <c r="R69" i="3"/>
  <c r="D69" i="3"/>
  <c r="V50" i="3"/>
  <c r="U50" i="3"/>
  <c r="T50" i="3"/>
  <c r="S50" i="3"/>
  <c r="Q50" i="3"/>
  <c r="P50" i="3"/>
  <c r="O50" i="3"/>
  <c r="P60" i="3"/>
  <c r="N50" i="3"/>
  <c r="L50" i="3"/>
  <c r="N60" i="3"/>
  <c r="F50" i="3"/>
  <c r="G50" i="3"/>
  <c r="G60" i="3"/>
  <c r="E50" i="3"/>
  <c r="F60" i="3"/>
  <c r="D50" i="3"/>
  <c r="J50" i="3"/>
  <c r="K50" i="3"/>
  <c r="K60" i="3"/>
  <c r="L60" i="3"/>
  <c r="I50" i="3"/>
  <c r="L59" i="3"/>
  <c r="K59" i="3"/>
  <c r="J59" i="3"/>
  <c r="I59" i="3"/>
  <c r="L57" i="3"/>
  <c r="K57" i="3"/>
  <c r="J57" i="3"/>
  <c r="I57" i="3"/>
  <c r="L55" i="3"/>
  <c r="K55" i="3"/>
  <c r="J55" i="3"/>
  <c r="I55" i="3"/>
  <c r="J53" i="3"/>
  <c r="K53" i="3"/>
  <c r="L53" i="3"/>
  <c r="I53" i="3"/>
  <c r="L49" i="3"/>
  <c r="K49" i="3"/>
  <c r="J49" i="3"/>
  <c r="I49" i="3"/>
  <c r="L47" i="3"/>
  <c r="K47" i="3"/>
  <c r="J47" i="3"/>
  <c r="I47" i="3"/>
  <c r="L45" i="3"/>
  <c r="K45" i="3"/>
  <c r="J45" i="3"/>
  <c r="I45" i="3"/>
  <c r="L43" i="3"/>
  <c r="K43" i="3"/>
  <c r="J43" i="3"/>
  <c r="I43" i="3"/>
  <c r="AG84" i="3"/>
  <c r="AG26" i="3"/>
  <c r="AB84" i="3"/>
  <c r="AB26" i="3"/>
  <c r="W26" i="3"/>
  <c r="R26" i="3"/>
  <c r="R27" i="3"/>
  <c r="Q27" i="3"/>
  <c r="P27" i="3"/>
  <c r="O27" i="3"/>
  <c r="N27" i="3"/>
  <c r="M26" i="3"/>
  <c r="L27" i="3"/>
  <c r="K27" i="3"/>
  <c r="J27" i="3"/>
  <c r="I27" i="3"/>
  <c r="H26" i="3"/>
  <c r="F27" i="3"/>
  <c r="G27" i="3"/>
  <c r="K82" i="3"/>
  <c r="J82" i="3"/>
  <c r="I82" i="3"/>
  <c r="W81" i="3"/>
  <c r="P75" i="3"/>
  <c r="G75" i="3"/>
  <c r="K75" i="3"/>
  <c r="I75" i="3"/>
  <c r="J75" i="3"/>
  <c r="L75" i="3"/>
  <c r="M75" i="3"/>
  <c r="F75" i="3"/>
  <c r="N75" i="3"/>
  <c r="O75" i="3"/>
  <c r="O64" i="3"/>
  <c r="N64" i="3"/>
  <c r="L64" i="3"/>
  <c r="K64" i="3"/>
  <c r="I64" i="3"/>
  <c r="I78" i="3"/>
  <c r="J79" i="3"/>
  <c r="P64" i="3"/>
  <c r="I79" i="3"/>
  <c r="E75" i="3"/>
  <c r="L30" i="3"/>
  <c r="J78" i="3"/>
  <c r="K79" i="3"/>
  <c r="K78" i="3"/>
  <c r="J64" i="3"/>
  <c r="L31" i="3"/>
  <c r="F31" i="3"/>
  <c r="F30" i="3"/>
  <c r="O31" i="3"/>
  <c r="O30" i="3"/>
  <c r="N31" i="3"/>
  <c r="N30" i="3"/>
  <c r="M64" i="3"/>
  <c r="G30" i="3"/>
  <c r="G31" i="3"/>
  <c r="P30" i="3"/>
  <c r="P31" i="3"/>
  <c r="I30" i="3"/>
  <c r="I31" i="3"/>
  <c r="J31" i="3"/>
  <c r="J30" i="3"/>
  <c r="K31" i="3"/>
  <c r="K30" i="3"/>
  <c r="Q64" i="3"/>
  <c r="R64" i="3"/>
  <c r="R75" i="3"/>
  <c r="Q75" i="3"/>
  <c r="Q30" i="3"/>
  <c r="R31" i="3"/>
  <c r="R30" i="3"/>
  <c r="Q31" i="3"/>
  <c r="L78" i="3"/>
  <c r="M82" i="3"/>
  <c r="L79" i="3"/>
  <c r="E76" i="3"/>
  <c r="R82" i="3"/>
  <c r="M76" i="3"/>
  <c r="Q60" i="3"/>
  <c r="D75" i="3"/>
  <c r="J60" i="3"/>
  <c r="I60" i="3"/>
  <c r="E60" i="3"/>
  <c r="O60" i="3"/>
  <c r="O78" i="3"/>
  <c r="S62" i="3"/>
  <c r="S60" i="3"/>
  <c r="M74" i="3"/>
  <c r="J74" i="3"/>
  <c r="H70" i="3"/>
  <c r="E31" i="3"/>
  <c r="E27" i="3"/>
  <c r="E30" i="3"/>
  <c r="X50" i="3"/>
  <c r="AB81" i="3"/>
  <c r="D76" i="3"/>
  <c r="M31" i="3"/>
  <c r="M30" i="3"/>
  <c r="M27" i="3"/>
  <c r="U62" i="3"/>
  <c r="U60" i="3"/>
  <c r="D31" i="3"/>
  <c r="D30" i="3"/>
  <c r="D27" i="3"/>
  <c r="AB82" i="3"/>
  <c r="H75" i="3"/>
  <c r="T62" i="3"/>
  <c r="T60" i="3"/>
  <c r="V62" i="3"/>
  <c r="V60" i="3"/>
  <c r="Y50" i="3"/>
  <c r="S65" i="3"/>
  <c r="S64" i="3"/>
  <c r="S68" i="3"/>
  <c r="AA50" i="3"/>
  <c r="H76" i="3"/>
  <c r="W64" i="3"/>
  <c r="V65" i="3"/>
  <c r="V64" i="3"/>
  <c r="X60" i="3"/>
  <c r="Z50" i="3"/>
  <c r="T65" i="3"/>
  <c r="T64" i="3"/>
  <c r="U65" i="3"/>
  <c r="U64" i="3"/>
  <c r="S74" i="3"/>
  <c r="Y60" i="3"/>
  <c r="Y62" i="3"/>
  <c r="S75" i="3"/>
  <c r="U74" i="3"/>
  <c r="T74" i="3"/>
  <c r="X65" i="3"/>
  <c r="X64" i="3"/>
  <c r="V68" i="3"/>
  <c r="V75" i="3"/>
  <c r="V74" i="3"/>
  <c r="U68" i="3"/>
  <c r="AG81" i="3"/>
  <c r="T68" i="3"/>
  <c r="AG82" i="3"/>
  <c r="X62" i="3"/>
  <c r="H30" i="3"/>
  <c r="H27" i="3"/>
  <c r="H31" i="3"/>
  <c r="AA62" i="3"/>
  <c r="AA60" i="3"/>
  <c r="W74" i="3"/>
  <c r="AD50" i="3"/>
  <c r="AC50" i="3"/>
  <c r="Z60" i="3"/>
  <c r="Y65" i="3"/>
  <c r="Y64" i="3"/>
  <c r="X74" i="3"/>
  <c r="X75" i="3"/>
  <c r="S30" i="3"/>
  <c r="S27" i="3"/>
  <c r="AC62" i="3"/>
  <c r="AC60" i="3"/>
  <c r="Z65" i="3"/>
  <c r="Z64" i="3"/>
  <c r="AE50" i="3"/>
  <c r="W69" i="3"/>
  <c r="V27" i="3"/>
  <c r="T75" i="3"/>
  <c r="U75" i="3"/>
  <c r="Z62" i="3"/>
  <c r="AA65" i="3"/>
  <c r="AA64" i="3"/>
  <c r="W75" i="3"/>
  <c r="AD60" i="3"/>
  <c r="AE60" i="3"/>
  <c r="Z75" i="3"/>
  <c r="AF50" i="3"/>
  <c r="Y75" i="3"/>
  <c r="AC65" i="3"/>
  <c r="AC64" i="3"/>
  <c r="AB64" i="3"/>
  <c r="W76" i="3"/>
  <c r="AE65" i="3"/>
  <c r="AE64" i="3"/>
  <c r="AD65" i="3"/>
  <c r="AD64" i="3"/>
  <c r="AB74" i="3"/>
  <c r="U27" i="3"/>
  <c r="AC74" i="3"/>
  <c r="AA75" i="3"/>
  <c r="AD62" i="3"/>
  <c r="AE62" i="3"/>
  <c r="Z27" i="3"/>
  <c r="T30" i="3"/>
  <c r="T27" i="3"/>
  <c r="AC75" i="3"/>
  <c r="AF62" i="3"/>
  <c r="AF60" i="3"/>
  <c r="W27" i="3"/>
  <c r="AD74" i="3"/>
  <c r="AE74" i="3"/>
  <c r="X27" i="3"/>
  <c r="AB69" i="3"/>
  <c r="AD75" i="3"/>
  <c r="AA27" i="3"/>
  <c r="AE75" i="3"/>
  <c r="AB75" i="3"/>
  <c r="AF65" i="3"/>
  <c r="AF64" i="3"/>
  <c r="Y27" i="3"/>
  <c r="AC27" i="3"/>
  <c r="AG64" i="3"/>
  <c r="AF74" i="3"/>
  <c r="AB27" i="3"/>
  <c r="AB76" i="3"/>
  <c r="AG69" i="3"/>
  <c r="AE27" i="3"/>
  <c r="AF75" i="3"/>
  <c r="AG74" i="3"/>
  <c r="AG75" i="3"/>
  <c r="AG76" i="3"/>
  <c r="AD27" i="3"/>
  <c r="AG27" i="3"/>
  <c r="AF27" i="3"/>
  <c r="V30" i="3"/>
  <c r="U30" i="3"/>
  <c r="Z31" i="3"/>
  <c r="Y78" i="3"/>
  <c r="Y28" i="3"/>
  <c r="Z78" i="3"/>
  <c r="Z28" i="3"/>
  <c r="Z30" i="3"/>
  <c r="W28" i="3"/>
  <c r="W30" i="3"/>
  <c r="W31" i="3"/>
  <c r="X30" i="3"/>
  <c r="AA31" i="3"/>
  <c r="AA78" i="3"/>
  <c r="AA28" i="3"/>
  <c r="AA30" i="3"/>
  <c r="Y30" i="3"/>
  <c r="AC31" i="3"/>
  <c r="AC78" i="3"/>
  <c r="AC28" i="3"/>
  <c r="AC30" i="3"/>
  <c r="AB28" i="3"/>
  <c r="AB30" i="3"/>
  <c r="AB31" i="3"/>
  <c r="AE31" i="3"/>
  <c r="AD78" i="3"/>
  <c r="AD28" i="3"/>
  <c r="AE78" i="3"/>
  <c r="AE28" i="3"/>
  <c r="AE30" i="3"/>
  <c r="AF78" i="3"/>
  <c r="AD30" i="3"/>
  <c r="AD31" i="3"/>
  <c r="AF28" i="3"/>
  <c r="AG31" i="3"/>
  <c r="AG28" i="3"/>
  <c r="AG30" i="3"/>
  <c r="AF30" i="3"/>
  <c r="AF31" i="3"/>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author>
  </authors>
  <commentList>
    <comment ref="T19" authorId="0" shapeId="0" xr:uid="{8BA4BC2C-E337-42F5-96B9-C69390F26459}">
      <text>
        <r>
          <rPr>
            <b/>
            <sz val="9"/>
            <color indexed="81"/>
            <rFont val="Tahoma"/>
            <family val="2"/>
          </rPr>
          <t>2Q2019 Earnings Call Guidance:</t>
        </r>
        <r>
          <rPr>
            <sz val="9"/>
            <color indexed="81"/>
            <rFont val="Tahoma"/>
            <family val="2"/>
          </rPr>
          <t xml:space="preserve"> "And then if you look at the G&amp;A line, obviously, that was impacted by the accrual for the FTC settlement as well as some other legal expenses, including the SEC settlement. So you have some G&amp;A expenses that were higher in the quarter as a
result of that."</t>
        </r>
      </text>
    </comment>
    <comment ref="Y31" authorId="0" shapeId="0" xr:uid="{1139567B-CDB2-4F27-9D2D-8164BFFEA73D}">
      <text>
        <r>
          <rPr>
            <b/>
            <sz val="9"/>
            <color indexed="81"/>
            <rFont val="Tahoma"/>
            <family val="2"/>
          </rPr>
          <t xml:space="preserve">Primary Output: </t>
        </r>
        <r>
          <rPr>
            <sz val="9"/>
            <color indexed="81"/>
            <rFont val="Tahoma"/>
            <family val="2"/>
          </rPr>
          <t>After you adjust the Primary Inputs in the model below, your new earnings forecast will recalculate based on the new assumptions resulting in a new EPS estimate, and theoretical target share price band.</t>
        </r>
      </text>
    </comment>
    <comment ref="Y43" authorId="0" shapeId="0" xr:uid="{CA776002-2BD9-4341-A1D5-7E072FA9BBD2}">
      <text>
        <r>
          <rPr>
            <b/>
            <sz val="9"/>
            <color indexed="81"/>
            <rFont val="Tahoma"/>
            <family val="2"/>
          </rPr>
          <t xml:space="preserve">Primary Input: </t>
        </r>
        <r>
          <rPr>
            <sz val="9"/>
            <color indexed="81"/>
            <rFont val="Tahoma"/>
            <family val="2"/>
          </rPr>
          <t>If you believe that new users will join the Facebook platforms, increase these growth rates for the various regions. If you believe users will leave, or begin to use Facebook less then monthly, decrease the growth rates.</t>
        </r>
      </text>
    </comment>
    <comment ref="Y53" authorId="0" shapeId="0" xr:uid="{EB180744-0605-4677-8197-E126E6D6DF86}">
      <text>
        <r>
          <rPr>
            <b/>
            <sz val="9"/>
            <color indexed="81"/>
            <rFont val="Tahoma"/>
            <family val="2"/>
          </rPr>
          <t xml:space="preserve">Primary Input: </t>
        </r>
        <r>
          <rPr>
            <sz val="9"/>
            <color indexed="81"/>
            <rFont val="Tahoma"/>
            <family val="2"/>
          </rPr>
          <t>If you believe there will be an increase in user engagement number ads, quality, relevance and performance of ads, than increase the future ARPU estimates for the various regions. If not decrease the ARPU.</t>
        </r>
      </text>
    </comment>
    <comment ref="S64" authorId="0" shapeId="0" xr:uid="{A92F8496-7575-4AC2-B47A-F77C80969D85}">
      <text>
        <r>
          <rPr>
            <b/>
            <sz val="9"/>
            <color indexed="81"/>
            <rFont val="Tahoma"/>
            <family val="2"/>
          </rPr>
          <t xml:space="preserve">1Q2019 Earnings Call: </t>
        </r>
        <r>
          <rPr>
            <sz val="9"/>
            <color indexed="81"/>
            <rFont val="Tahoma"/>
            <family val="2"/>
          </rPr>
          <t xml:space="preserve">"In Q1, the average price per ad decreased 4% and the number of ad impressions served across our services increased 32%. Impression growth was primarily driven by ads on Instagram Stories, Instagram Feed, and Facebook News Feed. The year-over-year decline in average price per ad reflects an ongoing mix shift towards Stories ads and geographies that monetize at lower rates."
"We are seeing more of our impression growth coming from Stories, and when I outlined the factors driving impression growth, I listed Stories first. It was the largest contributor of year-over-year impression growth in the quarter. But those impressions are coming in at lower prices than we see in feed. If anything, the mix shift on growth towards Stories is certainly in the near term a headwind on revenue growth."
"On the first comment, I would say we're very early on Facebook Messenger monetization, so we do have revenue there, but it's a very small contributor, and WhatsApp -- there's no revenue at WhatsApp related to ads at this point. And Mark has outlined the priorities for messaging, and that's privacy and interoperability. And if anything, the focus that Mark and the product team have on those two areas has de-prioritized monetization as it relates to messaging. And so at least in the near term, that's -- I would say the monetization side is lower priority."
"On the revenue growth for -- for North America, we're seeing good growth there. Obviously, Instagram is a big contributor. We talked about Stories on Instagram. Also, Feed on Instagram has been strong, and we've benefited year over year on Feed ad load growth on Instagram. That's going to be -- we did ramp Feed on Instagram last year, so we've seen that contribute to growth.
But at the level it is at currently, we don't have that lever as strong going forward. So that's like contributor to -- deceleration on growth in North America and across the world."
"And then I would say pricing -- is obviously a big lever of growth in North America. And I'd say pricing is the area where we have been very successful with ad targeting, and the area where we correspondingly see a lot of risk going forward, and I outlined the areas of risk there being the regulatory landscape and the increase of things like opt-outs on third-party tracking and also the platform headwinds, particularly things that could impact both targeting and measurement. So that we believe will play an impact to decelerating revenue growth and impact our ability to kind of increasing -- get those same gains we've gotten on the pricing side."
</t>
        </r>
      </text>
    </comment>
    <comment ref="B67" authorId="0" shapeId="0" xr:uid="{8DCCA4A9-05B2-4B94-A00B-608BDDA9F85C}">
      <text>
        <r>
          <rPr>
            <sz val="9"/>
            <color indexed="81"/>
            <rFont val="Tahoma"/>
            <family val="2"/>
          </rPr>
          <t>"So FX is going to play out in different ways over the course of the year, depending on the compare. I mean, a good proxy is looking at sort of euro versus dollar, but that's our largest non-U.S. currency. But obviously we've got other currency impacts, as well."
-Dave Wehner, CFO 4Q2019 follow-up call 1/30/2019 6:45pm</t>
        </r>
      </text>
    </comment>
    <comment ref="W67" authorId="0" shapeId="0" xr:uid="{C21D2766-6121-4FD0-BCDE-43CEFE14D396}">
      <text>
        <r>
          <rPr>
            <b/>
            <sz val="9"/>
            <color indexed="81"/>
            <rFont val="Tahoma"/>
            <family val="2"/>
          </rPr>
          <t xml:space="preserve">2Q2019 Earnings Call Guidance: </t>
        </r>
        <r>
          <rPr>
            <sz val="9"/>
            <color indexed="81"/>
            <rFont val="Tahoma"/>
            <family val="2"/>
          </rPr>
          <t>"We executed well in Q2 with a number of optimizations and product wins, particularly with the Facebook app, that fell in our favor and helped combat the overall trend of deceleration. However, we continue to expect that our constant currency revenue growth rates will decelerate sequentially going forward. We also expect more pronounced deceleration in the fourth quarter and into 2020, partially driven by ad targeting related headwinds and uncertainties."</t>
        </r>
        <r>
          <rPr>
            <b/>
            <sz val="9"/>
            <color indexed="81"/>
            <rFont val="Tahoma"/>
            <family val="2"/>
          </rPr>
          <t xml:space="preserve">
Prior Gudiance:
1Q2019 Earnings Call Guidance: </t>
        </r>
        <r>
          <rPr>
            <sz val="9"/>
            <color indexed="81"/>
            <rFont val="Tahoma"/>
            <family val="2"/>
          </rPr>
          <t>"We continue to expect that our revenue growth rates will decelerate sequentially throughout 2019 on a constant currency basis. In addition, we anticipate ad targeting related headwinds will be more pronounced in the second half of 2019." 
"And then, Dave, just to come back to your comments about revenue for the year you mentioned the ad targeting headwinds would be more pronounced in the second half. Can you help us better understand why that is, the sort of changes to expect that would drive that? " 
"We already talked about on the supply side the impact that Stories is having. And the supply growth really getting driven by Stories is coming through at lower prices, so that's one of the factors that factors into the lower growth outlook for the second half.
But on the demand side, want to specifically call out several factors that are contributing to ad targeting headwinds. The first is just the evolution of the regulatory landscape, and here I would point to regulations like GDPR. The number of people who have opted out on using context from the apps and Web Sites they visit for ad targeting has continued to increase since the adoption of GDPR so we've
seen that come up both in Europe and around the world. That means those people are seeing new less relevant ads and that's an ad targeting headwind for our business.
The second factor is just anticipated changes that mobile platforms will make that will make targeting and measurement more difficult. And the third is Facebook -- our own product changes. For example, in the fall we plan to roll out our tool for seeing and clearing your off-Facebook browsing history. In addition, we've introduced restrictions on the use of certain targeting criteria from some ads. We're seeing a cumulative impact from all of these factors leading to -- leading to what we expect to be targeting headwinds for the -- for the back half of the year"</t>
        </r>
        <r>
          <rPr>
            <b/>
            <sz val="9"/>
            <color indexed="81"/>
            <rFont val="Tahoma"/>
            <family val="2"/>
          </rPr>
          <t xml:space="preserve">
4Q2018 Earnings call guidance: </t>
        </r>
        <r>
          <rPr>
            <sz val="9"/>
            <color indexed="81"/>
            <rFont val="Tahoma"/>
            <family val="2"/>
          </rPr>
          <t>"In Q1, we expect our total revenue growth rate to decelerate by a mid-single digit percentage on a constant currency basis compared to the Q4 rate. We also expect that our revenue growth rates will continue to decelerate sequentially throughout 2019 on a constant currency basis."
"We don't expect -- the strength in Q4 to play into Q1, which is why we've talked about the mid-single-digit deceleration in constant currency revenue growth going into Q1. And then the overall -- deceleration we expect to continue sequentially throughout 2019. You know, some of the factors there are the fact that we're seeing increasing dependence on Stories impression growth in 2019 versus 2018, because we're at sort of levels of feed ad load in both Instagram and Facebook which are healthy, but we don't expect to provide it as much opportunity going forward."
-Dave Wehner, CFO 4Q2019 follow-up call 1/30/2019 6:45pm</t>
        </r>
      </text>
    </comment>
    <comment ref="Y69" authorId="0" shapeId="0" xr:uid="{BAEA0B7F-7886-4605-885A-593765A95821}">
      <text>
        <r>
          <rPr>
            <b/>
            <sz val="9"/>
            <color indexed="81"/>
            <rFont val="Tahoma"/>
            <family val="2"/>
          </rPr>
          <t xml:space="preserve">Primary Input: </t>
        </r>
        <r>
          <rPr>
            <sz val="9"/>
            <color indexed="81"/>
            <rFont val="Tahoma"/>
            <family val="2"/>
          </rPr>
          <t xml:space="preserve">If you believe the cost to operate data centers, SBC, energy, bandwith costs, and TAC will increase, decrease the gross margin estimate. If not increase the estimate. </t>
        </r>
      </text>
    </comment>
    <comment ref="AB73" authorId="0" shapeId="0" xr:uid="{08A898E8-7F7A-414E-815F-EC25D459F691}">
      <text>
        <r>
          <rPr>
            <b/>
            <sz val="9"/>
            <color indexed="81"/>
            <rFont val="Tahoma"/>
            <family val="2"/>
          </rPr>
          <t>Management Guidance:</t>
        </r>
        <r>
          <rPr>
            <sz val="9"/>
            <color indexed="81"/>
            <rFont val="Tahoma"/>
            <family val="2"/>
          </rPr>
          <t xml:space="preserve"> "We expect total expenses in 2020 to be between $52-56 billion, down from the prior range of $54-59 billion."
</t>
        </r>
        <r>
          <rPr>
            <b/>
            <sz val="9"/>
            <color indexed="81"/>
            <rFont val="Tahoma"/>
            <family val="2"/>
          </rPr>
          <t xml:space="preserve">Source: </t>
        </r>
        <r>
          <rPr>
            <sz val="9"/>
            <color indexed="81"/>
            <rFont val="Tahoma"/>
            <family val="2"/>
          </rPr>
          <t>1Q2020 earnings conference call</t>
        </r>
      </text>
    </comment>
    <comment ref="W74" authorId="0" shapeId="0" xr:uid="{4A8C62BC-0161-41D5-B168-8A39C9AEAE2C}">
      <text>
        <r>
          <rPr>
            <b/>
            <sz val="9"/>
            <color indexed="81"/>
            <rFont val="Tahoma"/>
            <family val="2"/>
          </rPr>
          <t xml:space="preserve">2Q2019 Earnings Call Guidance: </t>
        </r>
        <r>
          <rPr>
            <sz val="9"/>
            <color indexed="81"/>
            <rFont val="Tahoma"/>
            <family val="2"/>
          </rPr>
          <t>"We anticipate full-year 2019 expenses to grow 53-61% compared to 2018. The $5B in accruals we recorded in the first half of 2019 related to the FTC settlement represents approximately 16 percentage points of this anticipated expense growth. Absent the $2B accrual we recorded in Q2, our 2019 expense outlook is essentially  unchanged from last quarter."</t>
        </r>
        <r>
          <rPr>
            <b/>
            <sz val="9"/>
            <color indexed="81"/>
            <rFont val="Tahoma"/>
            <family val="2"/>
          </rPr>
          <t xml:space="preserve">
Prior Guidance:
1Q2019 Earnings Call Guidance: </t>
        </r>
        <r>
          <rPr>
            <sz val="9"/>
            <color indexed="81"/>
            <rFont val="Tahoma"/>
            <family val="2"/>
          </rPr>
          <t>"Turning now to the expense outlook. We are adjusting our expense outlook which now includes the accrual we recorded in Q1. We now anticipate full-year 2019 total expenses to grow 47-55% compared to 2018, up from our prior guidance of 40-50% growth. The $3B accrual accounts for approximately 10% points of the anticipated expense growth. But excluding the accrual, this revised outlook implies a modest reduction in our 2019 core expense growth rate. Note that this does not change our longer-term outlook on the need to invest in core product, infrastructure, innovation, and safety &amp; security, and the ultimate impact of those investments on our operating margin."</t>
        </r>
        <r>
          <rPr>
            <b/>
            <sz val="9"/>
            <color indexed="81"/>
            <rFont val="Tahoma"/>
            <family val="2"/>
          </rPr>
          <t xml:space="preserve">
4Q2018 Earnings call guidance: "</t>
        </r>
        <r>
          <rPr>
            <sz val="9"/>
            <color indexed="81"/>
            <rFont val="Tahoma"/>
            <family val="2"/>
          </rPr>
          <t>On a full-year basis, we continue to expect 2019 total expenses will grow approximately 40-50% compared to 2018."
"I would note that the 62 percent expense growth that we saw in Q4 we don't expect to continue. You know, there's the continuing underlying secular factors that are driving the expense growth rate. That's the investment in infrastructure, which is
flowing through cost of revenue, the innovation investments in things like AR and VR. Some of that is in cost of revenue as well as we shift products, and then safety and security investments we're making in terms of ramping a lot of the operating expenses related to that. So -- but in Q4, in addition to that sort of secular growth, we also saw a spike in seasonal spend, especially in marketing to support the efforts of Portal and
Oculus Go. I think I called that out on the call. And that's -- so we would expect that to tick down in 2019, so I wouldn't expect that 62 percent growth rate into Q1."
-Dave Wehner, CFO 4Q2019 follow-up call 1/30/2019 6:45pm</t>
        </r>
      </text>
    </comment>
    <comment ref="S76" authorId="0" shapeId="0" xr:uid="{D27EBF2C-8D0F-4B77-9EA4-6B1453D7F4E6}">
      <text>
        <r>
          <rPr>
            <b/>
            <sz val="9"/>
            <color indexed="81"/>
            <rFont val="Tahoma"/>
            <family val="2"/>
          </rPr>
          <t>1Q2019 Earnings Call:</t>
        </r>
        <r>
          <rPr>
            <sz val="9"/>
            <color indexed="81"/>
            <rFont val="Tahoma"/>
            <family val="2"/>
          </rPr>
          <t xml:space="preserve"> "Our Q1 tax rate was 30% and was higher than the mid-teens guidance given the tax treatment of the accrual."
</t>
        </r>
        <r>
          <rPr>
            <b/>
            <sz val="9"/>
            <color indexed="81"/>
            <rFont val="Tahoma"/>
            <family val="2"/>
          </rPr>
          <t xml:space="preserve">1Q2019 Earnings Call: </t>
        </r>
        <r>
          <rPr>
            <sz val="9"/>
            <color indexed="81"/>
            <rFont val="Tahoma"/>
            <family val="2"/>
          </rPr>
          <t>"Total expenses were $11.8 billion, up 80%. This includes a $3 billion accrual taken in connection with the inquiry of the Federal Trade Commission into our platform and user data practices. This matter remains unresolved, and we estimate that the associated range of loss is between $3 billion and $5 billion.
Absent this accrual our total expense growth rate would have been 46% points lower."</t>
        </r>
      </text>
    </comment>
    <comment ref="W76" authorId="0" shapeId="0" xr:uid="{31EB3E07-8D54-47D7-AC44-3904EE0C779A}">
      <text>
        <r>
          <rPr>
            <b/>
            <sz val="9"/>
            <color indexed="81"/>
            <rFont val="Tahoma"/>
            <family val="2"/>
          </rPr>
          <t xml:space="preserve">2Q2019 Earnings call guidance: </t>
        </r>
        <r>
          <rPr>
            <sz val="9"/>
            <color indexed="81"/>
            <rFont val="Tahoma"/>
            <family val="2"/>
          </rPr>
          <t xml:space="preserve">"We expect our tax rate for the remaining quarters of 2019 to be approximately 16%."
</t>
        </r>
        <r>
          <rPr>
            <b/>
            <sz val="9"/>
            <color indexed="81"/>
            <rFont val="Tahoma"/>
            <family val="2"/>
          </rPr>
          <t xml:space="preserve">
Prior guidance:
1Q2019 Earnings call guidance: </t>
        </r>
        <r>
          <rPr>
            <sz val="9"/>
            <color indexed="81"/>
            <rFont val="Tahoma"/>
            <family val="2"/>
          </rPr>
          <t>"We expect our tax rate for the remaining quarters of 2019 to be in the mid-teens."</t>
        </r>
        <r>
          <rPr>
            <b/>
            <sz val="9"/>
            <color indexed="81"/>
            <rFont val="Tahoma"/>
            <family val="2"/>
          </rPr>
          <t xml:space="preserve">
4Q2018 Earnings call guidance:</t>
        </r>
        <r>
          <rPr>
            <sz val="9"/>
            <color indexed="81"/>
            <rFont val="Tahoma"/>
            <family val="2"/>
          </rPr>
          <t xml:space="preserve"> "we expect that our 2019 tax rate will be a few percentage points higher than our 2018 rate."</t>
        </r>
      </text>
    </comment>
    <comment ref="AB76" authorId="0" shapeId="0" xr:uid="{CC07A69E-E1BA-4729-956F-8EED6E949E0D}">
      <text>
        <r>
          <rPr>
            <b/>
            <sz val="9"/>
            <color indexed="81"/>
            <rFont val="Tahoma"/>
            <family val="2"/>
          </rPr>
          <t xml:space="preserve">Management Guidance: </t>
        </r>
        <r>
          <rPr>
            <sz val="9"/>
            <color indexed="81"/>
            <rFont val="Tahoma"/>
            <family val="2"/>
          </rPr>
          <t xml:space="preserve">"We expect our full-year 2020 tax rate will be in the high-teens, although we may see fluctuations in our quarterly rate depending on our financial results."
</t>
        </r>
        <r>
          <rPr>
            <b/>
            <sz val="9"/>
            <color indexed="81"/>
            <rFont val="Tahoma"/>
            <family val="2"/>
          </rPr>
          <t>Source:</t>
        </r>
        <r>
          <rPr>
            <sz val="9"/>
            <color indexed="81"/>
            <rFont val="Tahoma"/>
            <family val="2"/>
          </rPr>
          <t xml:space="preserve"> 1Q2020 earnings conference call</t>
        </r>
      </text>
    </comment>
  </commentList>
</comments>
</file>

<file path=xl/sharedStrings.xml><?xml version="1.0" encoding="utf-8"?>
<sst xmlns="http://schemas.openxmlformats.org/spreadsheetml/2006/main" count="434" uniqueCount="134">
  <si>
    <t>Basic shares outstanding</t>
  </si>
  <si>
    <t xml:space="preserve">Diluted shares outstanding </t>
  </si>
  <si>
    <t>Effective tax rate</t>
  </si>
  <si>
    <t>(Dollars in millions, except per share data)</t>
  </si>
  <si>
    <t>Operating margin (GAAP)</t>
  </si>
  <si>
    <t>Share repurchase assumptions: average price</t>
  </si>
  <si>
    <t>Share repurchase: amount in the period ($M)</t>
  </si>
  <si>
    <t>Provisions for income tax</t>
  </si>
  <si>
    <t xml:space="preserve">Net income </t>
  </si>
  <si>
    <t xml:space="preserve">Basic EPS </t>
  </si>
  <si>
    <t xml:space="preserve">Diluted EPS </t>
  </si>
  <si>
    <t>Total operating expenses</t>
  </si>
  <si>
    <t>Change in basic shares  (excluding repurchases)</t>
  </si>
  <si>
    <t>Change in diluted shares  (excluding repurchases)</t>
  </si>
  <si>
    <t>By obtaining this model you are deemed to have read and agreed to our Terms of Use. Visit our website for details: https://www.gutenbergresearch.com/terms-of-use.html</t>
  </si>
  <si>
    <t>GR</t>
  </si>
  <si>
    <t>Ratio Analysis</t>
  </si>
  <si>
    <t>Shares repurchased (in millions)</t>
  </si>
  <si>
    <t>Share Count Analysis</t>
  </si>
  <si>
    <t>Revenue</t>
  </si>
  <si>
    <t>Total Revenue</t>
  </si>
  <si>
    <t>Operating expenses:</t>
  </si>
  <si>
    <t>Total operating income/(loss)</t>
  </si>
  <si>
    <t>Income/(loss) before income tax</t>
  </si>
  <si>
    <t>Non-GAAP Adjustments</t>
  </si>
  <si>
    <t>Segment Data</t>
  </si>
  <si>
    <t>Reconciliation</t>
  </si>
  <si>
    <t>2018</t>
  </si>
  <si>
    <t>4Q18</t>
  </si>
  <si>
    <t>3Q18</t>
  </si>
  <si>
    <t>2Q18</t>
  </si>
  <si>
    <t>1Q18</t>
  </si>
  <si>
    <t>March-17</t>
  </si>
  <si>
    <t>June-18</t>
  </si>
  <si>
    <t>March-18</t>
  </si>
  <si>
    <t>Sept-18</t>
  </si>
  <si>
    <t>Dec-18</t>
  </si>
  <si>
    <t>June-17</t>
  </si>
  <si>
    <t>Sept-17</t>
  </si>
  <si>
    <t>Dec-17</t>
  </si>
  <si>
    <t>1Q17</t>
  </si>
  <si>
    <t>2Q17</t>
  </si>
  <si>
    <t>3Q17</t>
  </si>
  <si>
    <t>4Q17</t>
  </si>
  <si>
    <t>2017</t>
  </si>
  <si>
    <t>March-16</t>
  </si>
  <si>
    <t>June-16</t>
  </si>
  <si>
    <t>Sept-16</t>
  </si>
  <si>
    <t>Dec-16</t>
  </si>
  <si>
    <t>1Q16</t>
  </si>
  <si>
    <t>2Q16</t>
  </si>
  <si>
    <t>3Q16</t>
  </si>
  <si>
    <t>4Q16</t>
  </si>
  <si>
    <t>2016</t>
  </si>
  <si>
    <t>March-19</t>
  </si>
  <si>
    <t>June-19</t>
  </si>
  <si>
    <t>Sept-19</t>
  </si>
  <si>
    <t>Dec-19</t>
  </si>
  <si>
    <t>March-20</t>
  </si>
  <si>
    <t>June-20</t>
  </si>
  <si>
    <t>Sept-20</t>
  </si>
  <si>
    <t>Dec-20</t>
  </si>
  <si>
    <t>March-21</t>
  </si>
  <si>
    <t>June-21</t>
  </si>
  <si>
    <t>Sept-21</t>
  </si>
  <si>
    <t>Dec-21</t>
  </si>
  <si>
    <t xml:space="preserve">   Gross Profit</t>
  </si>
  <si>
    <t>Cost of revenue</t>
  </si>
  <si>
    <t>Research and development</t>
  </si>
  <si>
    <t>Marketing and sales</t>
  </si>
  <si>
    <t>General and administrative</t>
  </si>
  <si>
    <t>Interest and other income (expense)</t>
  </si>
  <si>
    <t xml:space="preserve">Net income available to participating securities </t>
  </si>
  <si>
    <t xml:space="preserve">   Net income attributable to common shareholders</t>
  </si>
  <si>
    <t>Facebook Income Statement</t>
  </si>
  <si>
    <t>U.S. and Canada ($M)</t>
  </si>
  <si>
    <t>Europe  ($M)</t>
  </si>
  <si>
    <t>Asia Pacific  ($M)</t>
  </si>
  <si>
    <t>Rest of World  ($M)</t>
  </si>
  <si>
    <t>MAU - Asia Pacific  (M)</t>
  </si>
  <si>
    <t>MAU - Rest of World  (M)</t>
  </si>
  <si>
    <t xml:space="preserve">Total Monthly Active Users (MAU) </t>
  </si>
  <si>
    <t xml:space="preserve"> YoY Growth in MAU - U.S. and Canada</t>
  </si>
  <si>
    <t>YoY Growth in MAU - Europe</t>
  </si>
  <si>
    <t>YoY Growth in MAU - Asia Pacific</t>
  </si>
  <si>
    <t>YoY Growth in MAU - Rest of World</t>
  </si>
  <si>
    <t>Monthly Active Users (MAUs)</t>
  </si>
  <si>
    <t xml:space="preserve">Average Revenue Per User (ARPU) </t>
  </si>
  <si>
    <t>ARPU - Asia Pacific ($)</t>
  </si>
  <si>
    <t>ARPU - Rest of World ($)</t>
  </si>
  <si>
    <t xml:space="preserve">Total Average Revenue Per User (ARPU) </t>
  </si>
  <si>
    <t>Gross Margin</t>
  </si>
  <si>
    <t>R&amp;D expense (as a % of revenue, GAAP)</t>
  </si>
  <si>
    <t>Marketing  expense (as a % of revenue, GAAP)</t>
  </si>
  <si>
    <t>G&amp;A  expense (as a % of revenue, GAAP)</t>
  </si>
  <si>
    <t>FX effect on revenue (using prior year rates)</t>
  </si>
  <si>
    <t>Share-based compensation included in:</t>
  </si>
  <si>
    <t>General and administrative expense</t>
  </si>
  <si>
    <t>Marketing and sales expense</t>
  </si>
  <si>
    <t>Research and development expense</t>
  </si>
  <si>
    <t>Growth in opex (YoY, inc cost of sales)</t>
  </si>
  <si>
    <t>Revenue growth rate (GAAP, YoY)</t>
  </si>
  <si>
    <t>Revenue growth rate (GAAP, QoQ)</t>
  </si>
  <si>
    <t>Revenue growth YoY (2019 Constant Currency)</t>
  </si>
  <si>
    <t>Revenue growth QoQ (2019 Constant Currency)</t>
  </si>
  <si>
    <t>Revenue Constant Currency (Non-GAAP)</t>
  </si>
  <si>
    <t>2Q20E</t>
  </si>
  <si>
    <t>3Q20E</t>
  </si>
  <si>
    <t>4Q20E</t>
  </si>
  <si>
    <t>2020E</t>
  </si>
  <si>
    <t>1Q21E</t>
  </si>
  <si>
    <t>2Q21E</t>
  </si>
  <si>
    <t>3Q21E</t>
  </si>
  <si>
    <t>4Q21E</t>
  </si>
  <si>
    <t>2021E</t>
  </si>
  <si>
    <t xml:space="preserve">MAU - U.S. and Canada (M, left side of chart) </t>
  </si>
  <si>
    <t>ARPU - U.S. and Canada ($, right side of chart)</t>
  </si>
  <si>
    <t>MAU - Europe  (M, left side of chart)</t>
  </si>
  <si>
    <t>ARPU - Europe ($, right side of chart)</t>
  </si>
  <si>
    <t>1Q19</t>
  </si>
  <si>
    <t>YoY Growth in ARPU - U.S. and Canada (%)</t>
  </si>
  <si>
    <t>YoY Growth in ARPU - Rest of World (%)</t>
  </si>
  <si>
    <t>YoY Growth in ARPU  - Asia Pacific (%)</t>
  </si>
  <si>
    <t>YoY Growth in ARPU - Europe (%)</t>
  </si>
  <si>
    <t>Revenue by Geography</t>
  </si>
  <si>
    <t>2Q19</t>
  </si>
  <si>
    <t>3Q19</t>
  </si>
  <si>
    <t>4Q19</t>
  </si>
  <si>
    <t>2019</t>
  </si>
  <si>
    <t>1Q20</t>
  </si>
  <si>
    <r>
      <t xml:space="preserve">Last updated: </t>
    </r>
    <r>
      <rPr>
        <sz val="11"/>
        <color theme="1"/>
        <rFont val="Calibri"/>
        <family val="2"/>
        <scheme val="minor"/>
      </rPr>
      <t>6/7/2020</t>
    </r>
  </si>
  <si>
    <t xml:space="preserve">Blue cells = Contributor estimates </t>
  </si>
  <si>
    <t>Purple cells = Company guidance</t>
  </si>
  <si>
    <t xml:space="preserve">Orange cells = Consensus estimates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</si>
</sst>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9">
    <numFmt numFmtId="5" formatCode="&quot;$&quot;#,##0_);\(&quot;$&quot;#,##0\)"/>
    <numFmt numFmtId="6" formatCode="&quot;$&quot;#,##0_);[Red]\(&quot;$&quot;#,##0\)"/>
    <numFmt numFmtId="7" formatCode="&quot;$&quot;#,##0.00_);\(&quot;$&quot;#,##0.00\)"/>
    <numFmt numFmtId="8" formatCode="&quot;$&quot;#,##0.00_);[Red]\(&quot;$&quot;#,##0.00\)"/>
    <numFmt numFmtId="41" formatCode="_(* #,##0_);_(* \(#,##0\);_(* &quot;-&quot;_);_(@_)"/>
    <numFmt numFmtId="44" formatCode="_(&quot;$&quot;* #,##0.00_);_(&quot;$&quot;* \(#,##0.00\);_(&quot;$&quot;* &quot;-&quot;??_);_(@_)"/>
    <numFmt numFmtId="43" formatCode="_(* #,##0.00_);_(* \(#,##0.00\);_(* &quot;-&quot;??_);_(@_)"/>
    <numFmt numFmtId="164" formatCode="_(* #,##0.0_);_(* \(#,##0.0\);_(* &quot;-&quot;??_);_(@_)"/>
    <numFmt numFmtId="165" formatCode="_(* #,##0_);_(* \(#,##0\);_(* &quot;-&quot;??_);_(@_)"/>
    <numFmt numFmtId="166" formatCode="0.0%"/>
    <numFmt numFmtId="167" formatCode="_(* #,##0.000_);_(* \(#,##0.000\);_(* &quot;-&quot;??_);_(@_)"/>
    <numFmt numFmtId="168" formatCode="0.0_)\%;\(0.0\)\%;0.0_)\%;@_)_%"/>
    <numFmt numFmtId="169" formatCode="#,##0.0_)_%;\(#,##0.0\)_%;0.0_)_%;@_)_%"/>
    <numFmt numFmtId="170" formatCode="#,##0.0_);\(#,##0.0\);#,##0.0_);@_)"/>
    <numFmt numFmtId="171" formatCode="&quot;$&quot;_(#,##0.00_);&quot;$&quot;\(#,##0.00\);&quot;$&quot;_(0.00_);@_)"/>
    <numFmt numFmtId="172" formatCode="#,##0.00_);\(#,##0.00\);0.00_);@_)"/>
    <numFmt numFmtId="173" formatCode="\€_(#,##0.00_);\€\(#,##0.00\);\€_(0.00_);@_)"/>
    <numFmt numFmtId="174" formatCode="#,##0_)\x;\(#,##0\)\x;0_)\x;@_)_x"/>
    <numFmt numFmtId="175" formatCode="#,##0_)_x;\(#,##0\)_x;0_)_x;@_)_x"/>
    <numFmt numFmtId="176" formatCode="* #,##0.00_);\(#,##0.00\)"/>
    <numFmt numFmtId="177" formatCode="&quot;$&quot;#,##0;\-&quot;$&quot;#,##0"/>
    <numFmt numFmtId="178" formatCode="#,##0;\-#,##0;&quot;-&quot;"/>
    <numFmt numFmtId="179" formatCode="0.000000"/>
    <numFmt numFmtId="180" formatCode="_(* #,##0,,_);_(* \(#,##0,,\);_(* &quot;-&quot;_)"/>
    <numFmt numFmtId="181" formatCode="_(* #,##0_);[Red]_(* \(#,##0\);_(* &quot;&quot;&quot;&quot;&quot;&quot;&quot;&quot;\ \-\ &quot;&quot;&quot;&quot;&quot;&quot;&quot;&quot;_);_(@_)"/>
    <numFmt numFmtId="182" formatCode="&quot;£&quot;#,##0;[Red]\-&quot;£&quot;#,##0"/>
    <numFmt numFmtId="183" formatCode="_(* #,##0,_);[Red]_(* \(#,##0,\);_(* &quot;&quot;&quot;&quot;&quot;&quot;&quot;&quot;\ \-\ &quot;&quot;&quot;&quot;&quot;&quot;&quot;&quot;_);_(@_)"/>
    <numFmt numFmtId="184" formatCode="0.00_);[Red]\(0.00\)"/>
    <numFmt numFmtId="185" formatCode="0%;\(0%\);;"/>
    <numFmt numFmtId="186" formatCode="&quot;£&quot;#,##0.00;[Red]\-&quot;£&quot;#,##0.00"/>
    <numFmt numFmtId="187" formatCode="_(* #,##0.000_);_(* \(#,##0.000\);_(* &quot;-&quot;_);_(@_)"/>
    <numFmt numFmtId="188" formatCode="0%;\(0%\);&quot;-&quot;"/>
    <numFmt numFmtId="189" formatCode="_-&quot;£&quot;* #,##0_-;\-&quot;£&quot;* #,##0_-;_-&quot;£&quot;* &quot;-&quot;_-;_-@_-"/>
    <numFmt numFmtId="190" formatCode="_(&quot;$&quot;* #,##0,_);_(&quot;$&quot;* \(#,##0,\);_(&quot;$&quot;* &quot;-&quot;_);_(@_)"/>
    <numFmt numFmtId="191" formatCode="#,##0\ ;\(#,##0.0\)"/>
    <numFmt numFmtId="192" formatCode="0.0"/>
    <numFmt numFmtId="193" formatCode="#,##0.00;\-#,##0.00;&quot;-&quot;"/>
    <numFmt numFmtId="194" formatCode="_._.* \(#,##0\)_%;_._.* #,##0_)_%;_._.* 0_)_%;_._.@_)_%"/>
    <numFmt numFmtId="195" formatCode="_._.&quot;$&quot;* \(#,##0\)_%;_._.&quot;$&quot;* #,##0_)_%;_._.&quot;$&quot;* 0_)_%;_._.@_)_%"/>
    <numFmt numFmtId="196" formatCode="&quot;$&quot;0.00_)"/>
    <numFmt numFmtId="197" formatCode="&quot;SFr.&quot;\ #,##0.00;&quot;SFr.&quot;\ \-#,##0.00"/>
    <numFmt numFmtId="198" formatCode="#,##0;\(#,##0\)"/>
    <numFmt numFmtId="199" formatCode="_([$€-2]* #,##0.00_);_([$€-2]* \(#,##0.00\);_([$€-2]* &quot;-&quot;??_)"/>
    <numFmt numFmtId="200" formatCode="_-* #,##0\ _D_M_-;\-* #,##0\ _D_M_-;_-* &quot;-&quot;\ _D_M_-;_-@_-"/>
    <numFmt numFmtId="201" formatCode="_-* #,##0.00\ _D_M_-;\-* #,##0.00\ _D_M_-;_-* &quot;-&quot;??\ _D_M_-;_-@_-"/>
    <numFmt numFmtId="202" formatCode="_-* #,##0\ &quot;DM&quot;_-;\-* #,##0\ &quot;DM&quot;_-;_-* &quot;-&quot;\ &quot;DM&quot;_-;_-@_-"/>
    <numFmt numFmtId="203" formatCode="_-* #,##0.00\ &quot;DM&quot;_-;\-* #,##0.00\ &quot;DM&quot;_-;_-* &quot;-&quot;??\ &quot;DM&quot;_-;_-@_-"/>
    <numFmt numFmtId="204" formatCode="#,##0.0_);\(#,##0.0\)"/>
    <numFmt numFmtId="205" formatCode="#,##0.0\ ;\(#,##0.0\)"/>
    <numFmt numFmtId="206" formatCode="0%;\(0%\)"/>
    <numFmt numFmtId="207" formatCode="&quot;SFr.&quot;#,##0;[Red]&quot;SFr.&quot;\-#,##0"/>
    <numFmt numFmtId="208" formatCode="#,##0.0000000000;\-#,##0.0000000000"/>
    <numFmt numFmtId="209" formatCode="#,##0.0;\-#,##0.0"/>
    <numFmt numFmtId="210" formatCode="#,##0.000;\-#,##0.000"/>
    <numFmt numFmtId="211" formatCode="#,##0.0000;\-#,##0.0000"/>
    <numFmt numFmtId="212" formatCode="#,##0.00000;\-#,##0.00000"/>
    <numFmt numFmtId="213" formatCode="#,##0.000000;\-#,##0.000000"/>
    <numFmt numFmtId="214" formatCode="#,##0.0000000;\-#,##0.0000000"/>
    <numFmt numFmtId="215" formatCode="#,##0.00000000;\-#,##0.00000000"/>
    <numFmt numFmtId="216" formatCode="#,##0.000000000;\-#,##0.000000000"/>
    <numFmt numFmtId="217" formatCode="#,##0___);\(#,##0.00\)"/>
    <numFmt numFmtId="218" formatCode="#,##0&quot;%&quot;"/>
    <numFmt numFmtId="219" formatCode="#,##0_);[Red]\(#,##0\);&quot;-&quot;"/>
    <numFmt numFmtId="220" formatCode="_-&quot;£&quot;* #,##0.00_-;\-&quot;£&quot;* #,##0.00_-;_-&quot;£&quot;* &quot;-&quot;??_-;_-@_-"/>
    <numFmt numFmtId="221" formatCode="*-"/>
    <numFmt numFmtId="222" formatCode="#,##0;[Red]\(#,##0\)"/>
    <numFmt numFmtId="223" formatCode="_-&quot;$&quot;* #,##0_-;\-&quot;$&quot;* #,##0_-;_-&quot;$&quot;* &quot;-&quot;_-;_-@_-"/>
    <numFmt numFmtId="224" formatCode="_-&quot;$&quot;* #,##0.00_-;\-&quot;$&quot;* #,##0.00_-;_-&quot;$&quot;* &quot;-&quot;??_-;_-@_-"/>
    <numFmt numFmtId="225" formatCode="_(&quot;$&quot;* #,##0_);_(&quot;$&quot;* \(#,##0\);_(&quot;$&quot;* &quot;-&quot;??_);_(@_)"/>
  </numFmts>
  <fonts count="75" x14ac:knownFonts="1">
    <font>
      <sz val="11"/>
      <color theme="1"/>
      <name val="Calibri"/>
      <family val="2"/>
      <scheme val="minor"/>
    </font>
    <font>
      <sz val="11"/>
      <color theme="1"/>
      <name val="Calibri"/>
      <family val="2"/>
      <scheme val="minor"/>
    </font>
    <font>
      <b/>
      <sz val="11"/>
      <color theme="1"/>
      <name val="Calibri"/>
      <family val="2"/>
      <scheme val="minor"/>
    </font>
    <font>
      <sz val="10"/>
      <name val="Arial"/>
      <family val="2"/>
    </font>
    <font>
      <sz val="11"/>
      <color rgb="FFFF0000"/>
      <name val="Calibri"/>
      <family val="2"/>
      <scheme val="minor"/>
    </font>
    <font>
      <sz val="11"/>
      <name val="Calibri"/>
      <family val="2"/>
    </font>
    <font>
      <b/>
      <sz val="11"/>
      <color theme="0" tint="-0.14999847407452621"/>
      <name val="Calibri"/>
      <family val="2"/>
      <scheme val="minor"/>
    </font>
    <font>
      <sz val="9"/>
      <color indexed="81"/>
      <name val="Tahoma"/>
      <family val="2"/>
    </font>
    <font>
      <b/>
      <sz val="9"/>
      <color indexed="81"/>
      <name val="Tahoma"/>
      <family val="2"/>
    </font>
    <font>
      <b/>
      <sz val="22"/>
      <color indexed="18"/>
      <name val="Arial"/>
      <family val="2"/>
    </font>
    <font>
      <b/>
      <sz val="14"/>
      <color indexed="18"/>
      <name val="Arial"/>
      <family val="2"/>
    </font>
    <font>
      <sz val="9"/>
      <color indexed="8"/>
      <name val="Arial"/>
      <family val="2"/>
    </font>
    <font>
      <b/>
      <sz val="10"/>
      <color indexed="18"/>
      <name val="Arial"/>
      <family val="2"/>
    </font>
    <font>
      <b/>
      <u val="singleAccounting"/>
      <sz val="10"/>
      <color indexed="18"/>
      <name val="Arial"/>
      <family val="2"/>
    </font>
    <font>
      <sz val="12"/>
      <name val="Times New Roman"/>
      <family val="1"/>
    </font>
    <font>
      <sz val="10"/>
      <name val="Helv"/>
      <family val="2"/>
    </font>
    <font>
      <sz val="8"/>
      <name val="Helv"/>
    </font>
    <font>
      <b/>
      <sz val="12"/>
      <name val="Tms Rmn"/>
    </font>
    <font>
      <b/>
      <i/>
      <sz val="12"/>
      <name val="Tms Rmn"/>
    </font>
    <font>
      <b/>
      <sz val="10"/>
      <name val="MS Sans Serif"/>
      <family val="2"/>
    </font>
    <font>
      <sz val="10"/>
      <color indexed="8"/>
      <name val="Arial"/>
      <family val="2"/>
    </font>
    <font>
      <b/>
      <sz val="11"/>
      <name val="Arial"/>
      <family val="2"/>
    </font>
    <font>
      <sz val="10"/>
      <name val="Helv"/>
    </font>
    <font>
      <sz val="10"/>
      <color theme="1"/>
      <name val="Arial"/>
      <family val="2"/>
    </font>
    <font>
      <sz val="10"/>
      <color indexed="0"/>
      <name val="MS Sans Serif"/>
      <family val="2"/>
    </font>
    <font>
      <b/>
      <sz val="14"/>
      <name val="Arial"/>
      <family val="2"/>
    </font>
    <font>
      <sz val="11"/>
      <color indexed="12"/>
      <name val="Times New Roman"/>
      <family val="1"/>
    </font>
    <font>
      <sz val="11"/>
      <name val="Times New Roman"/>
      <family val="1"/>
    </font>
    <font>
      <sz val="10"/>
      <color indexed="12"/>
      <name val="Helv"/>
    </font>
    <font>
      <sz val="8"/>
      <color indexed="18"/>
      <name val="Helv"/>
    </font>
    <font>
      <b/>
      <u/>
      <sz val="10"/>
      <color indexed="8"/>
      <name val="Times New Roman"/>
      <family val="1"/>
    </font>
    <font>
      <sz val="10"/>
      <color indexed="12"/>
      <name val="Arial"/>
      <family val="2"/>
    </font>
    <font>
      <sz val="8"/>
      <name val="Arial"/>
      <family val="2"/>
    </font>
    <font>
      <b/>
      <sz val="12"/>
      <name val="Arial"/>
      <family val="2"/>
    </font>
    <font>
      <b/>
      <sz val="10"/>
      <name val="Arial"/>
      <family val="2"/>
    </font>
    <font>
      <u/>
      <sz val="11"/>
      <color theme="10"/>
      <name val="Calibri"/>
      <family val="2"/>
    </font>
    <font>
      <u/>
      <sz val="10"/>
      <color indexed="12"/>
      <name val="Arial"/>
      <family val="2"/>
    </font>
    <font>
      <u/>
      <sz val="10"/>
      <color theme="10"/>
      <name val="Trebuchet MS"/>
      <family val="2"/>
    </font>
    <font>
      <sz val="10"/>
      <color indexed="14"/>
      <name val="Arial"/>
      <family val="2"/>
    </font>
    <font>
      <sz val="10"/>
      <name val="MS Sans Serif"/>
      <family val="2"/>
    </font>
    <font>
      <sz val="7"/>
      <name val="Small Fonts"/>
      <family val="2"/>
    </font>
    <font>
      <sz val="12"/>
      <name val="Helv"/>
      <family val="2"/>
    </font>
    <font>
      <sz val="10"/>
      <name val="Trebuchet MS"/>
      <family val="2"/>
    </font>
    <font>
      <sz val="10"/>
      <name val="Tms Rmn"/>
    </font>
    <font>
      <sz val="10"/>
      <name val="Tms Rmn"/>
      <family val="1"/>
    </font>
    <font>
      <sz val="11"/>
      <color indexed="8"/>
      <name val="Calibri"/>
      <family val="2"/>
    </font>
    <font>
      <b/>
      <u/>
      <sz val="26"/>
      <color indexed="9"/>
      <name val="Arial"/>
      <family val="2"/>
    </font>
    <font>
      <sz val="10"/>
      <color indexed="10"/>
      <name val="Arial"/>
      <family val="2"/>
    </font>
    <font>
      <sz val="12"/>
      <name val="Helv"/>
    </font>
    <font>
      <sz val="10"/>
      <color rgb="FF404040"/>
      <name val="Segoe UI"/>
      <family val="2"/>
    </font>
    <font>
      <b/>
      <sz val="10"/>
      <color rgb="FF404040"/>
      <name val="Segoe UI"/>
      <family val="2"/>
    </font>
    <font>
      <b/>
      <sz val="10"/>
      <color indexed="10"/>
      <name val="Arial"/>
      <family val="2"/>
    </font>
    <font>
      <sz val="8"/>
      <name val="Tms Rmn"/>
    </font>
    <font>
      <u/>
      <sz val="11"/>
      <color theme="10"/>
      <name val="Calibri"/>
      <family val="2"/>
      <scheme val="minor"/>
    </font>
    <font>
      <b/>
      <u val="singleAccounting"/>
      <sz val="11"/>
      <name val="Calibri"/>
      <family val="2"/>
      <scheme val="minor"/>
    </font>
    <font>
      <b/>
      <sz val="11"/>
      <color rgb="FFFF0000"/>
      <name val="Calibri"/>
      <family val="2"/>
      <scheme val="minor"/>
    </font>
    <font>
      <u/>
      <sz val="11"/>
      <color rgb="FFFF0000"/>
      <name val="Calibri"/>
      <family val="2"/>
      <scheme val="minor"/>
    </font>
    <font>
      <b/>
      <sz val="11"/>
      <color theme="2"/>
      <name val="Calibri"/>
      <family val="2"/>
      <scheme val="minor"/>
    </font>
    <font>
      <b/>
      <u val="singleAccounting"/>
      <sz val="11"/>
      <color theme="2"/>
      <name val="Calibri"/>
      <family val="2"/>
      <scheme val="minor"/>
    </font>
    <font>
      <b/>
      <u/>
      <sz val="12"/>
      <color theme="2"/>
      <name val="Calibri"/>
      <family val="2"/>
      <scheme val="minor"/>
    </font>
    <font>
      <sz val="10"/>
      <color theme="2"/>
      <name val="Calibri"/>
      <family val="2"/>
      <scheme val="minor"/>
    </font>
    <font>
      <sz val="11"/>
      <name val="Calibri"/>
      <family val="2"/>
      <scheme val="minor"/>
    </font>
    <font>
      <i/>
      <sz val="11"/>
      <name val="Calibri"/>
      <family val="2"/>
      <scheme val="minor"/>
    </font>
    <font>
      <b/>
      <sz val="11"/>
      <name val="Calibri"/>
      <family val="2"/>
      <scheme val="minor"/>
    </font>
    <font>
      <u val="singleAccounting"/>
      <sz val="11"/>
      <name val="Calibri"/>
      <family val="2"/>
      <scheme val="minor"/>
    </font>
    <font>
      <b/>
      <u/>
      <sz val="11"/>
      <name val="Calibri"/>
      <family val="2"/>
      <scheme val="minor"/>
    </font>
    <font>
      <b/>
      <u/>
      <sz val="12"/>
      <name val="Calibri"/>
      <family val="2"/>
      <scheme val="minor"/>
    </font>
    <font>
      <i/>
      <sz val="8"/>
      <color rgb="FFFF0000"/>
      <name val="Calibri"/>
      <family val="2"/>
      <scheme val="minor"/>
    </font>
    <font>
      <i/>
      <sz val="9"/>
      <color theme="3" tint="0.39997558519241921"/>
      <name val="Calibri"/>
      <family val="2"/>
      <scheme val="minor"/>
    </font>
    <font>
      <sz val="8"/>
      <name val="Calibri"/>
      <family val="2"/>
      <scheme val="minor"/>
    </font>
    <font>
      <i/>
      <sz val="11"/>
      <color theme="4"/>
      <name val="Calibri"/>
      <family val="2"/>
      <scheme val="minor"/>
    </font>
    <font>
      <u/>
      <sz val="12"/>
      <name val="Calibri"/>
      <family val="2"/>
      <scheme val="minor"/>
    </font>
    <font>
      <u val="singleAccounting"/>
      <sz val="11"/>
      <color rgb="FFFF0000"/>
      <name val="Calibri"/>
      <family val="2"/>
      <scheme val="minor"/>
    </font>
    <font>
      <sz val="11"/>
      <color theme="0"/>
      <name val="Calibri"/>
      <family val="2"/>
      <scheme val="minor"/>
    </font>
    <font>
      <sz val="10"/>
      <name val="Arial"/>
      <family val="2"/>
    </font>
  </fonts>
  <fills count="12">
    <fill>
      <patternFill patternType="none"/>
    </fill>
    <fill>
      <patternFill patternType="gray125"/>
    </fill>
    <fill>
      <patternFill patternType="solid">
        <fgColor theme="1" tint="0.34998626667073579"/>
        <bgColor indexed="64"/>
      </patternFill>
    </fill>
    <fill>
      <patternFill patternType="solid">
        <fgColor theme="0" tint="-0.14999847407452621"/>
        <bgColor indexed="64"/>
      </patternFill>
    </fill>
    <fill>
      <patternFill patternType="solid">
        <fgColor indexed="43"/>
      </patternFill>
    </fill>
    <fill>
      <patternFill patternType="solid">
        <fgColor indexed="22"/>
        <bgColor indexed="64"/>
      </patternFill>
    </fill>
    <fill>
      <patternFill patternType="solid">
        <fgColor indexed="27"/>
        <bgColor indexed="64"/>
      </patternFill>
    </fill>
    <fill>
      <patternFill patternType="solid">
        <fgColor indexed="26"/>
        <bgColor indexed="64"/>
      </patternFill>
    </fill>
    <fill>
      <patternFill patternType="solid">
        <fgColor indexed="44"/>
        <bgColor indexed="64"/>
      </patternFill>
    </fill>
    <fill>
      <patternFill patternType="solid">
        <fgColor theme="9" tint="0.39997558519241921"/>
        <bgColor indexed="64"/>
      </patternFill>
    </fill>
    <fill>
      <patternFill patternType="solid">
        <fgColor theme="4" tint="0.39997558519241921"/>
        <bgColor indexed="64"/>
      </patternFill>
    </fill>
    <fill>
      <patternFill patternType="solid">
        <fgColor theme="7" tint="0.39997558519241921"/>
        <bgColor indexed="64"/>
      </patternFill>
    </fill>
  </fills>
  <borders count="26">
    <border>
      <left/>
      <right/>
      <top/>
      <bottom/>
      <diagonal/>
    </border>
    <border>
      <left style="thin">
        <color auto="1"/>
      </left>
      <right/>
      <top style="thin">
        <color auto="1"/>
      </top>
      <bottom/>
      <diagonal/>
    </border>
    <border>
      <left/>
      <right/>
      <top style="thin">
        <color auto="1"/>
      </top>
      <bottom/>
      <diagonal/>
    </border>
    <border>
      <left style="thin">
        <color auto="1"/>
      </left>
      <right/>
      <top/>
      <bottom/>
      <diagonal/>
    </border>
    <border>
      <left/>
      <right style="thin">
        <color auto="1"/>
      </right>
      <top/>
      <bottom/>
      <diagonal/>
    </border>
    <border>
      <left style="thin">
        <color auto="1"/>
      </left>
      <right style="thin">
        <color auto="1"/>
      </right>
      <top/>
      <bottom/>
      <diagonal/>
    </border>
    <border>
      <left style="thin">
        <color auto="1"/>
      </left>
      <right/>
      <top/>
      <bottom style="thin">
        <color auto="1"/>
      </bottom>
      <diagonal/>
    </border>
    <border>
      <left/>
      <right/>
      <top/>
      <bottom style="thin">
        <color auto="1"/>
      </bottom>
      <diagonal/>
    </border>
    <border>
      <left style="thin">
        <color auto="1"/>
      </left>
      <right style="thin">
        <color auto="1"/>
      </right>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diagonal/>
    </border>
    <border>
      <left style="thin">
        <color auto="1"/>
      </left>
      <right style="thin">
        <color auto="1"/>
      </right>
      <top style="thin">
        <color auto="1"/>
      </top>
      <bottom style="thin">
        <color auto="1"/>
      </bottom>
      <diagonal/>
    </border>
    <border>
      <left/>
      <right/>
      <top style="hair">
        <color indexed="8"/>
      </top>
      <bottom style="hair">
        <color indexed="8"/>
      </bottom>
      <diagonal/>
    </border>
    <border>
      <left/>
      <right/>
      <top/>
      <bottom style="medium">
        <color indexed="18"/>
      </bottom>
      <diagonal/>
    </border>
    <border>
      <left/>
      <right/>
      <top/>
      <bottom style="medium">
        <color indexed="64"/>
      </bottom>
      <diagonal/>
    </border>
    <border>
      <left/>
      <right/>
      <top style="medium">
        <color indexed="64"/>
      </top>
      <bottom style="medium">
        <color indexed="64"/>
      </bottom>
      <diagonal/>
    </border>
    <border>
      <left/>
      <right/>
      <top style="medium">
        <color indexed="64"/>
      </top>
      <bottom/>
      <diagonal/>
    </border>
    <border>
      <left style="medium">
        <color indexed="64"/>
      </left>
      <right/>
      <top style="medium">
        <color indexed="64"/>
      </top>
      <bottom style="medium">
        <color indexed="64"/>
      </bottom>
      <diagonal/>
    </border>
    <border>
      <left/>
      <right/>
      <top style="thin">
        <color indexed="64"/>
      </top>
      <bottom style="double">
        <color indexed="64"/>
      </bottom>
      <diagonal/>
    </border>
    <border>
      <left/>
      <right/>
      <top/>
      <bottom style="double">
        <color indexed="64"/>
      </bottom>
      <diagonal/>
    </border>
    <border>
      <left style="thin">
        <color auto="1"/>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diagonal/>
    </border>
  </borders>
  <cellStyleXfs count="334">
    <xf numFmtId="0" fontId="0" fillId="0" borderId="0"/>
    <xf numFmtId="43" fontId="1" fillId="0" borderId="0" applyFont="0" applyFill="0" applyBorder="0" applyAlignment="0" applyProtection="0"/>
    <xf numFmtId="9" fontId="1" fillId="0" borderId="0" applyFont="0" applyFill="0" applyBorder="0" applyAlignment="0" applyProtection="0"/>
    <xf numFmtId="0" fontId="3" fillId="0" borderId="0">
      <alignment vertical="top"/>
    </xf>
    <xf numFmtId="0" fontId="5" fillId="0" borderId="0"/>
    <xf numFmtId="43" fontId="5" fillId="0" borderId="0" applyFont="0" applyFill="0" applyBorder="0" applyAlignment="0" applyProtection="0"/>
    <xf numFmtId="168" fontId="3" fillId="0" borderId="0" applyFont="0" applyFill="0" applyBorder="0" applyAlignment="0" applyProtection="0"/>
    <xf numFmtId="169" fontId="3" fillId="0" borderId="0" applyFont="0" applyFill="0" applyBorder="0" applyAlignment="0" applyProtection="0"/>
    <xf numFmtId="170" fontId="3" fillId="0" borderId="0" applyFont="0" applyFill="0" applyBorder="0" applyAlignment="0" applyProtection="0"/>
    <xf numFmtId="171" fontId="3" fillId="0" borderId="0" applyFont="0" applyFill="0" applyBorder="0" applyAlignment="0" applyProtection="0"/>
    <xf numFmtId="172" fontId="3" fillId="0" borderId="0" applyFont="0" applyFill="0" applyBorder="0" applyAlignment="0" applyProtection="0"/>
    <xf numFmtId="173" fontId="3" fillId="0" borderId="0" applyFon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9" fillId="0" borderId="0" applyNumberFormat="0" applyFill="0" applyBorder="0" applyAlignment="0" applyProtection="0"/>
    <xf numFmtId="0" fontId="3" fillId="4" borderId="0" applyNumberFormat="0" applyFont="0" applyAlignment="0" applyProtection="0"/>
    <xf numFmtId="174" fontId="3" fillId="0" borderId="0" applyFont="0" applyFill="0" applyBorder="0" applyAlignment="0" applyProtection="0"/>
    <xf numFmtId="175" fontId="3" fillId="0" borderId="0" applyFont="0" applyFill="0" applyBorder="0" applyProtection="0">
      <alignment horizontal="right"/>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0" fillId="0" borderId="0" applyNumberFormat="0" applyFill="0" applyBorder="0" applyProtection="0">
      <alignment vertical="top"/>
    </xf>
    <xf numFmtId="0" fontId="11" fillId="0" borderId="13" applyNumberFormat="0" applyFill="0" applyAlignment="0" applyProtection="0"/>
    <xf numFmtId="0" fontId="12" fillId="0" borderId="14" applyNumberFormat="0" applyFill="0" applyProtection="0">
      <alignment horizontal="center"/>
    </xf>
    <xf numFmtId="0" fontId="12" fillId="0" borderId="0" applyNumberFormat="0" applyFill="0" applyBorder="0" applyProtection="0">
      <alignment horizontal="left"/>
    </xf>
    <xf numFmtId="0" fontId="13" fillId="0" borderId="0" applyNumberFormat="0" applyFill="0" applyBorder="0" applyProtection="0">
      <alignment horizontal="centerContinuous"/>
    </xf>
    <xf numFmtId="0" fontId="14" fillId="0" borderId="0" applyNumberFormat="0" applyFill="0" applyBorder="0" applyAlignment="0" applyProtection="0"/>
    <xf numFmtId="0" fontId="15" fillId="0" borderId="0"/>
    <xf numFmtId="176" fontId="16" fillId="0" borderId="0">
      <alignment horizontal="center"/>
    </xf>
    <xf numFmtId="37" fontId="17" fillId="0" borderId="0"/>
    <xf numFmtId="37" fontId="18" fillId="0" borderId="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 fillId="0" borderId="0" applyAlignment="0" applyProtection="0"/>
    <xf numFmtId="177" fontId="1" fillId="0" borderId="0" applyAlignment="0" applyProtection="0"/>
    <xf numFmtId="177" fontId="1" fillId="0" borderId="0"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9" fillId="0" borderId="2" applyAlignment="0" applyProtection="0"/>
    <xf numFmtId="177" fontId="1" fillId="0" borderId="0" applyAlignment="0" applyProtection="0"/>
    <xf numFmtId="178" fontId="20" fillId="0" borderId="0" applyFill="0" applyBorder="0" applyAlignment="0"/>
    <xf numFmtId="179" fontId="3" fillId="0" borderId="0" applyFill="0" applyBorder="0" applyAlignment="0"/>
    <xf numFmtId="180" fontId="3" fillId="0" borderId="0" applyFill="0" applyBorder="0" applyAlignment="0"/>
    <xf numFmtId="164" fontId="3" fillId="0" borderId="0" applyFill="0" applyBorder="0" applyAlignment="0"/>
    <xf numFmtId="181" fontId="3" fillId="0" borderId="0" applyFill="0" applyBorder="0" applyAlignment="0"/>
    <xf numFmtId="182" fontId="3" fillId="0" borderId="0" applyFill="0" applyBorder="0" applyAlignment="0"/>
    <xf numFmtId="183" fontId="3" fillId="0" borderId="0" applyFill="0" applyBorder="0" applyAlignment="0"/>
    <xf numFmtId="184" fontId="3" fillId="0" borderId="0" applyFill="0" applyBorder="0" applyAlignment="0"/>
    <xf numFmtId="185" fontId="3" fillId="0" borderId="0" applyFill="0" applyBorder="0" applyAlignment="0"/>
    <xf numFmtId="186" fontId="3" fillId="0" borderId="0" applyFill="0" applyBorder="0" applyAlignment="0"/>
    <xf numFmtId="178" fontId="20"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0" fontId="21" fillId="0" borderId="0" applyFill="0" applyBorder="0" applyProtection="0">
      <alignment horizontal="center"/>
      <protection locked="0"/>
    </xf>
    <xf numFmtId="0" fontId="22"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0" fontId="3" fillId="0" borderId="0"/>
    <xf numFmtId="191" fontId="22" fillId="0" borderId="7"/>
    <xf numFmtId="192" fontId="1" fillId="0" borderId="0"/>
    <xf numFmtId="0" fontId="15" fillId="0" borderId="7"/>
    <xf numFmtId="192" fontId="1" fillId="0" borderId="0"/>
    <xf numFmtId="178" fontId="3" fillId="0" borderId="0" applyFont="0" applyFill="0" applyBorder="0" applyAlignment="0" applyProtection="0"/>
    <xf numFmtId="187" fontId="3" fillId="0" borderId="0" applyFont="0" applyFill="0" applyBorder="0" applyAlignment="0" applyProtection="0"/>
    <xf numFmtId="43" fontId="3" fillId="0" borderId="0" applyFont="0" applyFill="0" applyBorder="0" applyAlignment="0" applyProtection="0">
      <alignment wrapText="1"/>
    </xf>
    <xf numFmtId="43" fontId="1" fillId="0" borderId="0" applyFont="0" applyFill="0" applyBorder="0" applyAlignment="0" applyProtection="0"/>
    <xf numFmtId="43" fontId="3" fillId="0" borderId="0" applyFont="0" applyFill="0" applyBorder="0" applyAlignment="0" applyProtection="0">
      <alignment wrapText="1"/>
    </xf>
    <xf numFmtId="43" fontId="3" fillId="0" borderId="0" applyFont="0" applyFill="0" applyBorder="0" applyAlignment="0" applyProtection="0">
      <alignment wrapText="1"/>
    </xf>
    <xf numFmtId="43" fontId="3" fillId="0" borderId="0" applyFont="0" applyFill="0" applyBorder="0" applyAlignment="0" applyProtection="0"/>
    <xf numFmtId="4" fontId="22" fillId="0" borderId="0" applyFont="0" applyFill="0" applyBorder="0" applyAlignment="0" applyProtection="0"/>
    <xf numFmtId="4" fontId="22" fillId="0" borderId="0" applyFont="0" applyFill="0" applyBorder="0" applyAlignment="0" applyProtection="0"/>
    <xf numFmtId="43" fontId="1" fillId="0" borderId="0" applyFont="0" applyFill="0" applyBorder="0" applyAlignment="0" applyProtection="0"/>
    <xf numFmtId="4" fontId="1" fillId="0" borderId="0" applyFont="0" applyFill="0" applyBorder="0" applyAlignment="0" applyProtection="0"/>
    <xf numFmtId="43" fontId="23" fillId="0" borderId="0" applyFont="0" applyFill="0" applyBorder="0" applyAlignment="0" applyProtection="0"/>
    <xf numFmtId="4" fontId="1" fillId="0" borderId="0" applyFont="0" applyFill="0" applyBorder="0" applyAlignment="0" applyProtection="0"/>
    <xf numFmtId="4" fontId="15" fillId="0" borderId="0" applyFont="0" applyFill="0" applyBorder="0" applyAlignment="0" applyProtection="0"/>
    <xf numFmtId="43" fontId="3" fillId="0" borderId="0" applyFont="0" applyFill="0" applyBorder="0" applyAlignment="0" applyProtection="0"/>
    <xf numFmtId="43" fontId="1" fillId="0" borderId="0" applyFont="0" applyFill="0" applyBorder="0" applyAlignment="0" applyProtection="0"/>
    <xf numFmtId="0" fontId="24" fillId="0" borderId="0" applyNumberFormat="0" applyFill="0" applyBorder="0" applyAlignment="0" applyProtection="0"/>
    <xf numFmtId="0" fontId="25" fillId="0" borderId="0" applyFill="0" applyBorder="0" applyAlignment="0" applyProtection="0">
      <protection locked="0"/>
    </xf>
    <xf numFmtId="193" fontId="3" fillId="0" borderId="0">
      <alignment horizontal="center"/>
    </xf>
    <xf numFmtId="194" fontId="26" fillId="0" borderId="0" applyFill="0" applyBorder="0" applyProtection="0"/>
    <xf numFmtId="195" fontId="27" fillId="0" borderId="0" applyFont="0" applyFill="0" applyBorder="0" applyAlignment="0" applyProtection="0"/>
    <xf numFmtId="196" fontId="28" fillId="0" borderId="15">
      <protection hidden="1"/>
    </xf>
    <xf numFmtId="180" fontId="3" fillId="0" borderId="0" applyFont="0" applyFill="0" applyBorder="0" applyAlignment="0" applyProtection="0"/>
    <xf numFmtId="164" fontId="3" fillId="0" borderId="0" applyFont="0" applyFill="0" applyBorder="0" applyAlignment="0" applyProtection="0"/>
    <xf numFmtId="8" fontId="1" fillId="0" borderId="0" applyFont="0" applyFill="0" applyBorder="0" applyAlignment="0" applyProtection="0"/>
    <xf numFmtId="44" fontId="3" fillId="0" borderId="0" applyFont="0" applyFill="0" applyBorder="0" applyAlignment="0" applyProtection="0"/>
    <xf numFmtId="0" fontId="24" fillId="0" borderId="0" applyNumberFormat="0" applyFill="0" applyBorder="0" applyAlignment="0" applyProtection="0"/>
    <xf numFmtId="1" fontId="16" fillId="0" borderId="0"/>
    <xf numFmtId="14" fontId="29" fillId="0" borderId="0">
      <alignment horizontal="center"/>
    </xf>
    <xf numFmtId="14" fontId="20" fillId="0" borderId="0" applyFill="0" applyBorder="0" applyAlignment="0"/>
    <xf numFmtId="15" fontId="30" fillId="5" borderId="0" applyNumberFormat="0" applyFont="0" applyFill="0" applyBorder="0" applyAlignment="0">
      <alignment horizontal="center" wrapText="1"/>
    </xf>
    <xf numFmtId="0" fontId="20" fillId="0" borderId="12" applyNumberFormat="0" applyFill="0" applyBorder="0" applyAlignment="0" applyProtection="0"/>
    <xf numFmtId="197" fontId="22" fillId="0" borderId="0" applyFont="0" applyFill="0" applyBorder="0" applyAlignment="0" applyProtection="0"/>
    <xf numFmtId="198" fontId="27" fillId="0" borderId="0" applyFont="0" applyFill="0" applyBorder="0" applyAlignment="0" applyProtection="0"/>
    <xf numFmtId="178" fontId="31"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1"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196" fontId="28" fillId="0" borderId="15">
      <protection hidden="1"/>
    </xf>
    <xf numFmtId="199" fontId="3" fillId="0" borderId="0" applyFont="0" applyFill="0" applyBorder="0" applyAlignment="0" applyProtection="0"/>
    <xf numFmtId="38" fontId="32" fillId="5" borderId="0" applyNumberFormat="0" applyBorder="0" applyAlignment="0" applyProtection="0"/>
    <xf numFmtId="0" fontId="33" fillId="0" borderId="16" applyNumberFormat="0" applyAlignment="0" applyProtection="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1" fillId="0" borderId="0">
      <alignment horizontal="left" vertical="center"/>
    </xf>
    <xf numFmtId="0" fontId="1" fillId="0" borderId="0">
      <alignment horizontal="left" vertical="center"/>
    </xf>
    <xf numFmtId="0" fontId="1" fillId="0" borderId="0">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33" fillId="0" borderId="9">
      <alignment horizontal="left" vertical="center"/>
    </xf>
    <xf numFmtId="0" fontId="1" fillId="0" borderId="0">
      <alignment horizontal="left" vertical="center"/>
    </xf>
    <xf numFmtId="14" fontId="34" fillId="6" borderId="15">
      <alignment horizontal="center" vertical="center" wrapText="1"/>
    </xf>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0" fontId="21" fillId="0" borderId="0" applyFill="0" applyAlignment="0" applyProtection="0">
      <protection locked="0"/>
    </xf>
    <xf numFmtId="0" fontId="21" fillId="0" borderId="7" applyFill="0" applyAlignment="0" applyProtection="0">
      <protection locked="0"/>
    </xf>
    <xf numFmtId="0" fontId="35" fillId="0" borderId="0" applyNumberFormat="0" applyFill="0" applyBorder="0" applyAlignment="0" applyProtection="0">
      <alignment vertical="top"/>
      <protection locked="0"/>
    </xf>
    <xf numFmtId="0" fontId="35"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0" fontId="37" fillId="0" borderId="0" applyNumberFormat="0" applyFill="0" applyBorder="0" applyAlignment="0" applyProtection="0">
      <alignment vertical="top"/>
      <protection locked="0"/>
    </xf>
    <xf numFmtId="0" fontId="36" fillId="0" borderId="0" applyNumberFormat="0" applyFill="0" applyBorder="0" applyAlignment="0" applyProtection="0">
      <alignment vertical="top"/>
      <protection locked="0"/>
    </xf>
    <xf numFmtId="10" fontId="32" fillId="7" borderId="12" applyNumberFormat="0" applyBorder="0" applyAlignment="0" applyProtection="0"/>
    <xf numFmtId="178" fontId="38"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38"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200" fontId="3" fillId="0" borderId="0" applyFont="0" applyFill="0" applyBorder="0" applyAlignment="0" applyProtection="0"/>
    <xf numFmtId="201" fontId="3" fillId="0" borderId="0" applyFont="0" applyFill="0" applyBorder="0" applyAlignment="0" applyProtection="0"/>
    <xf numFmtId="38" fontId="39" fillId="0" borderId="0" applyFont="0" applyFill="0" applyBorder="0" applyAlignment="0" applyProtection="0"/>
    <xf numFmtId="40" fontId="39" fillId="0" borderId="0" applyFont="0" applyFill="0" applyBorder="0" applyAlignment="0" applyProtection="0"/>
    <xf numFmtId="202" fontId="3" fillId="0" borderId="0" applyFont="0" applyFill="0" applyBorder="0" applyAlignment="0" applyProtection="0"/>
    <xf numFmtId="203" fontId="3" fillId="0" borderId="0" applyFont="0" applyFill="0" applyBorder="0" applyAlignment="0" applyProtection="0"/>
    <xf numFmtId="6" fontId="39" fillId="0" borderId="0" applyFont="0" applyFill="0" applyBorder="0" applyAlignment="0" applyProtection="0"/>
    <xf numFmtId="8" fontId="39" fillId="0" borderId="0" applyFont="0" applyFill="0" applyBorder="0" applyAlignment="0" applyProtection="0"/>
    <xf numFmtId="204" fontId="16" fillId="0" borderId="7"/>
    <xf numFmtId="37" fontId="40" fillId="0" borderId="0"/>
    <xf numFmtId="205" fontId="22" fillId="0" borderId="0"/>
    <xf numFmtId="205" fontId="1" fillId="0" borderId="0"/>
    <xf numFmtId="206" fontId="3" fillId="0" borderId="0"/>
    <xf numFmtId="207" fontId="3" fillId="0" borderId="0"/>
    <xf numFmtId="0" fontId="41" fillId="0" borderId="0"/>
    <xf numFmtId="0" fontId="41" fillId="0" borderId="0"/>
    <xf numFmtId="0" fontId="41" fillId="0" borderId="0"/>
    <xf numFmtId="0" fontId="41" fillId="0" borderId="0"/>
    <xf numFmtId="0" fontId="3" fillId="0" borderId="0"/>
    <xf numFmtId="0" fontId="3" fillId="0" borderId="0"/>
    <xf numFmtId="0" fontId="1" fillId="0" borderId="0"/>
    <xf numFmtId="0" fontId="3" fillId="0" borderId="0"/>
    <xf numFmtId="0" fontId="3" fillId="0" borderId="0">
      <alignment wrapText="1"/>
    </xf>
    <xf numFmtId="0" fontId="3" fillId="0" borderId="0"/>
    <xf numFmtId="0" fontId="42" fillId="0" borderId="0"/>
    <xf numFmtId="0" fontId="3" fillId="0" borderId="0"/>
    <xf numFmtId="0" fontId="3" fillId="0" borderId="0"/>
    <xf numFmtId="37" fontId="43" fillId="0" borderId="0"/>
    <xf numFmtId="0" fontId="1" fillId="0" borderId="0"/>
    <xf numFmtId="0" fontId="1" fillId="0" borderId="0"/>
    <xf numFmtId="0" fontId="3" fillId="0" borderId="0">
      <alignment wrapText="1"/>
    </xf>
    <xf numFmtId="0" fontId="3" fillId="0" borderId="0"/>
    <xf numFmtId="37" fontId="43" fillId="0" borderId="0"/>
    <xf numFmtId="0" fontId="3" fillId="0" borderId="0"/>
    <xf numFmtId="37" fontId="43" fillId="0" borderId="0"/>
    <xf numFmtId="0" fontId="1" fillId="0" borderId="0"/>
    <xf numFmtId="0" fontId="23" fillId="0" borderId="0"/>
    <xf numFmtId="37" fontId="1" fillId="0" borderId="0"/>
    <xf numFmtId="0" fontId="1" fillId="0" borderId="0"/>
    <xf numFmtId="37" fontId="1" fillId="0" borderId="0"/>
    <xf numFmtId="0" fontId="3" fillId="0" borderId="0">
      <alignment wrapText="1"/>
    </xf>
    <xf numFmtId="37" fontId="44" fillId="0" borderId="0"/>
    <xf numFmtId="0" fontId="3" fillId="0" borderId="0"/>
    <xf numFmtId="37" fontId="3" fillId="0" borderId="0"/>
    <xf numFmtId="37" fontId="3" fillId="0" borderId="0"/>
    <xf numFmtId="208" fontId="3" fillId="0" borderId="0"/>
    <xf numFmtId="209" fontId="3" fillId="0" borderId="0"/>
    <xf numFmtId="39" fontId="3" fillId="0" borderId="0"/>
    <xf numFmtId="39" fontId="3" fillId="0" borderId="0"/>
    <xf numFmtId="210" fontId="3" fillId="0" borderId="0"/>
    <xf numFmtId="211" fontId="3" fillId="0" borderId="0"/>
    <xf numFmtId="212" fontId="3" fillId="0" borderId="0"/>
    <xf numFmtId="213" fontId="3" fillId="0" borderId="0"/>
    <xf numFmtId="214" fontId="3" fillId="0" borderId="0"/>
    <xf numFmtId="215" fontId="3" fillId="0" borderId="0"/>
    <xf numFmtId="216" fontId="3" fillId="0" borderId="0"/>
    <xf numFmtId="217" fontId="39" fillId="0" borderId="0"/>
    <xf numFmtId="218" fontId="28" fillId="0" borderId="0">
      <protection hidden="1"/>
    </xf>
    <xf numFmtId="185" fontId="3" fillId="0" borderId="0" applyFont="0" applyFill="0" applyBorder="0" applyAlignment="0" applyProtection="0"/>
    <xf numFmtId="186" fontId="3" fillId="0" borderId="0" applyFont="0" applyFill="0" applyBorder="0" applyAlignment="0" applyProtection="0"/>
    <xf numFmtId="206" fontId="3" fillId="0" borderId="0" applyFont="0" applyFill="0" applyBorder="0" applyAlignment="0" applyProtection="0"/>
    <xf numFmtId="207" fontId="3" fillId="0" borderId="0" applyFont="0" applyFill="0" applyBorder="0" applyAlignment="0" applyProtection="0"/>
    <xf numFmtId="10" fontId="3" fillId="0" borderId="0" applyFont="0" applyFill="0" applyBorder="0" applyAlignment="0" applyProtection="0"/>
    <xf numFmtId="9" fontId="45" fillId="0" borderId="0" applyFont="0" applyFill="0" applyBorder="0" applyAlignment="0" applyProtection="0"/>
    <xf numFmtId="9" fontId="22"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23" fillId="0" borderId="0" applyFont="0" applyFill="0" applyBorder="0" applyAlignment="0" applyProtection="0"/>
    <xf numFmtId="9" fontId="1" fillId="0" borderId="0" applyFont="0" applyFill="0" applyBorder="0" applyAlignment="0" applyProtection="0"/>
    <xf numFmtId="9" fontId="45" fillId="0" borderId="0" applyFont="0" applyFill="0" applyBorder="0" applyAlignment="0" applyProtection="0"/>
    <xf numFmtId="9" fontId="39" fillId="0" borderId="17" applyNumberFormat="0" applyBorder="0"/>
    <xf numFmtId="204" fontId="16" fillId="0" borderId="0"/>
    <xf numFmtId="0" fontId="46" fillId="8" borderId="18" applyNumberFormat="0" applyFont="0" applyFill="0" applyAlignment="0">
      <alignment horizontal="center" vertical="center"/>
    </xf>
    <xf numFmtId="178" fontId="47" fillId="0" borderId="0" applyFill="0" applyBorder="0" applyAlignment="0"/>
    <xf numFmtId="187" fontId="3" fillId="0" borderId="0" applyFill="0" applyBorder="0" applyAlignment="0"/>
    <xf numFmtId="180" fontId="3" fillId="0" borderId="0" applyFill="0" applyBorder="0" applyAlignment="0"/>
    <xf numFmtId="164" fontId="3" fillId="0" borderId="0" applyFill="0" applyBorder="0" applyAlignment="0"/>
    <xf numFmtId="178" fontId="47" fillId="0" borderId="0" applyFill="0" applyBorder="0" applyAlignment="0"/>
    <xf numFmtId="187" fontId="3" fillId="0" borderId="0" applyFill="0" applyBorder="0" applyAlignment="0"/>
    <xf numFmtId="188" fontId="3" fillId="0" borderId="0" applyFill="0" applyBorder="0" applyAlignment="0"/>
    <xf numFmtId="189" fontId="3" fillId="0" borderId="0" applyFill="0" applyBorder="0" applyAlignment="0"/>
    <xf numFmtId="180" fontId="3" fillId="0" borderId="0" applyFill="0" applyBorder="0" applyAlignment="0"/>
    <xf numFmtId="164" fontId="3" fillId="0" borderId="0" applyFill="0" applyBorder="0" applyAlignment="0"/>
    <xf numFmtId="37" fontId="43" fillId="0" borderId="19"/>
    <xf numFmtId="0" fontId="48" fillId="0" borderId="0"/>
    <xf numFmtId="0" fontId="22" fillId="0" borderId="0"/>
    <xf numFmtId="0" fontId="39" fillId="0" borderId="0"/>
    <xf numFmtId="37" fontId="49" fillId="0" borderId="15">
      <alignment horizontal="right"/>
      <protection locked="0"/>
    </xf>
    <xf numFmtId="37" fontId="50" fillId="0" borderId="15">
      <alignment horizontal="right"/>
      <protection locked="0"/>
    </xf>
    <xf numFmtId="49" fontId="20" fillId="0" borderId="0" applyFill="0" applyBorder="0" applyAlignment="0"/>
    <xf numFmtId="219" fontId="3" fillId="0" borderId="0" applyFill="0" applyBorder="0" applyAlignment="0"/>
    <xf numFmtId="220" fontId="3" fillId="0" borderId="0" applyFill="0" applyBorder="0" applyAlignment="0"/>
    <xf numFmtId="221" fontId="3" fillId="0" borderId="0" applyFill="0" applyBorder="0" applyAlignment="0"/>
    <xf numFmtId="222" fontId="3" fillId="0" borderId="0" applyFill="0" applyBorder="0" applyAlignment="0"/>
    <xf numFmtId="49" fontId="3" fillId="0" borderId="0"/>
    <xf numFmtId="0" fontId="51" fillId="0" borderId="0" applyFill="0" applyBorder="0" applyProtection="0">
      <alignment horizontal="left" vertical="top"/>
    </xf>
    <xf numFmtId="40" fontId="52" fillId="0" borderId="0"/>
    <xf numFmtId="0" fontId="24" fillId="0" borderId="0" applyNumberFormat="0" applyFill="0" applyBorder="0" applyAlignment="0" applyProtection="0"/>
    <xf numFmtId="0" fontId="24" fillId="0" borderId="0" applyNumberFormat="0" applyFill="0" applyBorder="0" applyAlignment="0" applyProtection="0"/>
    <xf numFmtId="0" fontId="24" fillId="0" borderId="0" applyNumberFormat="0" applyFill="0" applyBorder="0" applyAlignment="0" applyProtection="0"/>
    <xf numFmtId="37" fontId="43" fillId="0" borderId="7"/>
    <xf numFmtId="37" fontId="43" fillId="0" borderId="20"/>
    <xf numFmtId="223" fontId="3" fillId="0" borderId="0" applyFont="0" applyFill="0" applyBorder="0" applyAlignment="0" applyProtection="0"/>
    <xf numFmtId="224" fontId="3" fillId="0" borderId="0" applyFont="0" applyFill="0" applyBorder="0" applyAlignment="0" applyProtection="0"/>
    <xf numFmtId="0" fontId="3" fillId="0" borderId="0"/>
    <xf numFmtId="0" fontId="3" fillId="0" borderId="0"/>
    <xf numFmtId="0" fontId="53" fillId="0" borderId="0" applyNumberFormat="0" applyFill="0" applyBorder="0" applyAlignment="0" applyProtection="0"/>
    <xf numFmtId="0" fontId="3" fillId="0" borderId="0"/>
    <xf numFmtId="0" fontId="3" fillId="0" borderId="0"/>
    <xf numFmtId="0" fontId="74" fillId="0" borderId="0"/>
    <xf numFmtId="44" fontId="1" fillId="0" borderId="0" applyFont="0" applyFill="0" applyBorder="0" applyAlignment="0" applyProtection="0"/>
  </cellStyleXfs>
  <cellXfs count="201">
    <xf numFmtId="0" fontId="0" fillId="0" borderId="0" xfId="0"/>
    <xf numFmtId="165" fontId="0" fillId="0" borderId="0" xfId="1" applyNumberFormat="1" applyFont="1"/>
    <xf numFmtId="166" fontId="0" fillId="0" borderId="0" xfId="2" applyNumberFormat="1" applyFont="1"/>
    <xf numFmtId="164" fontId="4" fillId="0" borderId="0" xfId="1" applyNumberFormat="1" applyFont="1" applyAlignment="1">
      <alignment horizontal="right"/>
    </xf>
    <xf numFmtId="0" fontId="4" fillId="0" borderId="0" xfId="0" applyFont="1"/>
    <xf numFmtId="0" fontId="0" fillId="0" borderId="0" xfId="0" applyAlignment="1">
      <alignment wrapText="1"/>
    </xf>
    <xf numFmtId="0" fontId="2" fillId="0" borderId="0" xfId="0" applyFont="1" applyAlignment="1">
      <alignment horizontal="left"/>
    </xf>
    <xf numFmtId="0" fontId="0" fillId="0" borderId="0" xfId="0" applyAlignment="1">
      <alignment horizontal="center" textRotation="90"/>
    </xf>
    <xf numFmtId="164" fontId="6" fillId="0" borderId="0" xfId="1" quotePrefix="1" applyNumberFormat="1" applyFont="1" applyAlignment="1">
      <alignment horizontal="left"/>
    </xf>
    <xf numFmtId="164" fontId="6" fillId="0" borderId="0" xfId="1" quotePrefix="1" applyNumberFormat="1" applyFont="1" applyAlignment="1">
      <alignment horizontal="right"/>
    </xf>
    <xf numFmtId="164" fontId="0" fillId="0" borderId="0" xfId="1" applyNumberFormat="1" applyFont="1"/>
    <xf numFmtId="0" fontId="4" fillId="0" borderId="0" xfId="0" applyFont="1" applyAlignment="1">
      <alignment horizontal="right"/>
    </xf>
    <xf numFmtId="0" fontId="56" fillId="0" borderId="0" xfId="329" applyFont="1" applyAlignment="1">
      <alignment horizontal="right"/>
    </xf>
    <xf numFmtId="43" fontId="4" fillId="0" borderId="0" xfId="1" applyFont="1" applyAlignment="1">
      <alignment horizontal="right"/>
    </xf>
    <xf numFmtId="165" fontId="4" fillId="0" borderId="0" xfId="1" applyNumberFormat="1" applyFont="1" applyAlignment="1">
      <alignment horizontal="right"/>
    </xf>
    <xf numFmtId="43" fontId="4" fillId="0" borderId="0" xfId="1" applyFont="1" applyAlignment="1">
      <alignment horizontal="left"/>
    </xf>
    <xf numFmtId="9" fontId="4" fillId="0" borderId="0" xfId="2" applyFont="1" applyAlignment="1">
      <alignment horizontal="right"/>
    </xf>
    <xf numFmtId="43" fontId="4" fillId="0" borderId="0" xfId="1" applyFont="1"/>
    <xf numFmtId="165" fontId="4" fillId="0" borderId="0" xfId="0" applyNumberFormat="1" applyFont="1"/>
    <xf numFmtId="165" fontId="4" fillId="0" borderId="5" xfId="1" quotePrefix="1" applyNumberFormat="1" applyFont="1" applyBorder="1" applyAlignment="1">
      <alignment horizontal="right"/>
    </xf>
    <xf numFmtId="0" fontId="4" fillId="0" borderId="0" xfId="0" applyFont="1" applyAlignment="1">
      <alignment horizontal="left"/>
    </xf>
    <xf numFmtId="0" fontId="55" fillId="0" borderId="0" xfId="0" applyFont="1"/>
    <xf numFmtId="9" fontId="4" fillId="0" borderId="5" xfId="2" quotePrefix="1" applyFont="1" applyBorder="1" applyAlignment="1">
      <alignment horizontal="right"/>
    </xf>
    <xf numFmtId="9" fontId="4" fillId="0" borderId="5" xfId="2" applyFont="1" applyBorder="1" applyAlignment="1">
      <alignment horizontal="right"/>
    </xf>
    <xf numFmtId="166" fontId="4" fillId="0" borderId="5" xfId="2" quotePrefix="1" applyNumberFormat="1" applyFont="1" applyBorder="1" applyAlignment="1">
      <alignment horizontal="right"/>
    </xf>
    <xf numFmtId="164" fontId="54" fillId="3" borderId="0" xfId="1" quotePrefix="1" applyNumberFormat="1" applyFont="1" applyFill="1" applyAlignment="1">
      <alignment horizontal="right"/>
    </xf>
    <xf numFmtId="164" fontId="57" fillId="2" borderId="2" xfId="1" quotePrefix="1" applyNumberFormat="1" applyFont="1" applyFill="1" applyBorder="1" applyAlignment="1">
      <alignment horizontal="right"/>
    </xf>
    <xf numFmtId="164" fontId="58" fillId="2" borderId="0" xfId="1" quotePrefix="1" applyNumberFormat="1" applyFont="1" applyFill="1" applyAlignment="1">
      <alignment horizontal="right"/>
    </xf>
    <xf numFmtId="164" fontId="2" fillId="3" borderId="2" xfId="1" quotePrefix="1" applyNumberFormat="1" applyFont="1" applyFill="1" applyBorder="1" applyAlignment="1">
      <alignment horizontal="right"/>
    </xf>
    <xf numFmtId="165" fontId="61" fillId="0" borderId="0" xfId="1" applyNumberFormat="1" applyFont="1" applyAlignment="1">
      <alignment horizontal="right"/>
    </xf>
    <xf numFmtId="165" fontId="61" fillId="0" borderId="5" xfId="1" applyNumberFormat="1" applyFont="1" applyBorder="1" applyAlignment="1">
      <alignment horizontal="right"/>
    </xf>
    <xf numFmtId="0" fontId="62" fillId="0" borderId="3" xfId="0" applyFont="1" applyBorder="1" applyAlignment="1">
      <alignment horizontal="left"/>
    </xf>
    <xf numFmtId="0" fontId="4" fillId="0" borderId="4" xfId="0" applyFont="1" applyBorder="1"/>
    <xf numFmtId="0" fontId="55" fillId="0" borderId="4" xfId="0" applyFont="1" applyBorder="1"/>
    <xf numFmtId="165" fontId="64" fillId="0" borderId="0" xfId="1" applyNumberFormat="1" applyFont="1" applyAlignment="1">
      <alignment horizontal="right"/>
    </xf>
    <xf numFmtId="165" fontId="64" fillId="0" borderId="5" xfId="1" applyNumberFormat="1" applyFont="1" applyBorder="1" applyAlignment="1">
      <alignment horizontal="right"/>
    </xf>
    <xf numFmtId="0" fontId="63" fillId="0" borderId="4" xfId="0" applyFont="1" applyBorder="1"/>
    <xf numFmtId="165" fontId="54" fillId="0" borderId="0" xfId="1" applyNumberFormat="1" applyFont="1" applyAlignment="1">
      <alignment horizontal="right"/>
    </xf>
    <xf numFmtId="165" fontId="54" fillId="0" borderId="5" xfId="1" applyNumberFormat="1" applyFont="1" applyBorder="1" applyAlignment="1">
      <alignment horizontal="right"/>
    </xf>
    <xf numFmtId="0" fontId="63" fillId="0" borderId="0" xfId="0" applyFont="1"/>
    <xf numFmtId="165" fontId="63" fillId="0" borderId="0" xfId="1" applyNumberFormat="1" applyFont="1" applyAlignment="1">
      <alignment horizontal="right"/>
    </xf>
    <xf numFmtId="165" fontId="63" fillId="0" borderId="5" xfId="1" applyNumberFormat="1" applyFont="1" applyBorder="1" applyAlignment="1">
      <alignment horizontal="right"/>
    </xf>
    <xf numFmtId="0" fontId="61" fillId="0" borderId="0" xfId="0" applyFont="1"/>
    <xf numFmtId="43" fontId="63" fillId="0" borderId="0" xfId="1" applyFont="1" applyAlignment="1">
      <alignment horizontal="right"/>
    </xf>
    <xf numFmtId="43" fontId="63" fillId="0" borderId="5" xfId="1" applyFont="1" applyBorder="1" applyAlignment="1">
      <alignment horizontal="right"/>
    </xf>
    <xf numFmtId="43" fontId="61" fillId="0" borderId="0" xfId="1" applyFont="1" applyAlignment="1">
      <alignment horizontal="right"/>
    </xf>
    <xf numFmtId="0" fontId="61" fillId="0" borderId="0" xfId="0" applyFont="1" applyAlignment="1">
      <alignment horizontal="left"/>
    </xf>
    <xf numFmtId="0" fontId="61" fillId="0" borderId="3" xfId="0" applyFont="1" applyBorder="1" applyAlignment="1">
      <alignment horizontal="left" indent="1"/>
    </xf>
    <xf numFmtId="0" fontId="66" fillId="0" borderId="4" xfId="0" applyFont="1" applyBorder="1" applyAlignment="1">
      <alignment horizontal="left"/>
    </xf>
    <xf numFmtId="165" fontId="67" fillId="0" borderId="5" xfId="1" quotePrefix="1" applyNumberFormat="1" applyFont="1" applyBorder="1" applyAlignment="1">
      <alignment horizontal="right"/>
    </xf>
    <xf numFmtId="165" fontId="67" fillId="0" borderId="0" xfId="2" applyNumberFormat="1" applyFont="1" applyAlignment="1">
      <alignment horizontal="right"/>
    </xf>
    <xf numFmtId="166" fontId="61" fillId="0" borderId="0" xfId="2" applyNumberFormat="1" applyFont="1" applyAlignment="1">
      <alignment horizontal="right"/>
    </xf>
    <xf numFmtId="0" fontId="68" fillId="0" borderId="0" xfId="0" applyFont="1"/>
    <xf numFmtId="9" fontId="61" fillId="0" borderId="5" xfId="2" applyFont="1" applyBorder="1" applyAlignment="1">
      <alignment horizontal="right"/>
    </xf>
    <xf numFmtId="166" fontId="61" fillId="0" borderId="5" xfId="2" applyNumberFormat="1" applyFont="1" applyBorder="1" applyAlignment="1">
      <alignment horizontal="right"/>
    </xf>
    <xf numFmtId="9" fontId="61" fillId="0" borderId="0" xfId="2" applyFont="1" applyAlignment="1">
      <alignment horizontal="right"/>
    </xf>
    <xf numFmtId="0" fontId="61" fillId="0" borderId="3" xfId="0" applyFont="1" applyBorder="1"/>
    <xf numFmtId="165" fontId="64" fillId="10" borderId="0" xfId="1" applyNumberFormat="1" applyFont="1" applyFill="1" applyAlignment="1">
      <alignment horizontal="right"/>
    </xf>
    <xf numFmtId="165" fontId="61" fillId="10" borderId="0" xfId="1" applyNumberFormat="1" applyFont="1" applyFill="1" applyAlignment="1">
      <alignment horizontal="right"/>
    </xf>
    <xf numFmtId="9" fontId="61" fillId="10" borderId="0" xfId="2" applyFont="1" applyFill="1" applyAlignment="1">
      <alignment horizontal="right"/>
    </xf>
    <xf numFmtId="166" fontId="61" fillId="10" borderId="0" xfId="2" applyNumberFormat="1" applyFont="1" applyFill="1" applyAlignment="1">
      <alignment horizontal="right"/>
    </xf>
    <xf numFmtId="7" fontId="61" fillId="0" borderId="0" xfId="1" applyNumberFormat="1" applyFont="1" applyAlignment="1">
      <alignment horizontal="right"/>
    </xf>
    <xf numFmtId="7" fontId="4" fillId="0" borderId="5" xfId="1" applyNumberFormat="1" applyFont="1" applyBorder="1" applyAlignment="1">
      <alignment horizontal="right"/>
    </xf>
    <xf numFmtId="7" fontId="61" fillId="10" borderId="0" xfId="1" applyNumberFormat="1" applyFont="1" applyFill="1" applyAlignment="1">
      <alignment horizontal="right"/>
    </xf>
    <xf numFmtId="41" fontId="61" fillId="0" borderId="0" xfId="1" quotePrefix="1" applyNumberFormat="1" applyFont="1" applyAlignment="1">
      <alignment horizontal="right"/>
    </xf>
    <xf numFmtId="7" fontId="61" fillId="0" borderId="5" xfId="1" applyNumberFormat="1" applyFont="1" applyBorder="1" applyAlignment="1">
      <alignment horizontal="right"/>
    </xf>
    <xf numFmtId="164" fontId="61" fillId="0" borderId="7" xfId="1" applyNumberFormat="1" applyFont="1" applyBorder="1" applyAlignment="1">
      <alignment horizontal="right"/>
    </xf>
    <xf numFmtId="165" fontId="61" fillId="0" borderId="7" xfId="1" applyNumberFormat="1" applyFont="1" applyBorder="1" applyAlignment="1">
      <alignment horizontal="right"/>
    </xf>
    <xf numFmtId="165" fontId="61" fillId="0" borderId="8" xfId="1" applyNumberFormat="1" applyFont="1" applyBorder="1" applyAlignment="1">
      <alignment horizontal="right"/>
    </xf>
    <xf numFmtId="0" fontId="4" fillId="0" borderId="4"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4" xfId="0" applyFont="1" applyBorder="1" applyAlignment="1">
      <alignment horizontal="left" indent="1"/>
    </xf>
    <xf numFmtId="0" fontId="63" fillId="0" borderId="3" xfId="0" applyFont="1" applyBorder="1" applyAlignment="1">
      <alignment horizontal="left"/>
    </xf>
    <xf numFmtId="0" fontId="63" fillId="0" borderId="4" xfId="0" applyFont="1" applyBorder="1" applyAlignment="1">
      <alignment horizontal="left"/>
    </xf>
    <xf numFmtId="0" fontId="61" fillId="0" borderId="3" xfId="0" applyFont="1" applyBorder="1" applyAlignment="1">
      <alignment horizontal="left" indent="2"/>
    </xf>
    <xf numFmtId="0" fontId="61" fillId="0" borderId="6" xfId="0" applyFont="1" applyBorder="1" applyAlignment="1">
      <alignment horizontal="left"/>
    </xf>
    <xf numFmtId="165" fontId="61" fillId="10" borderId="7" xfId="1" applyNumberFormat="1" applyFont="1" applyFill="1" applyBorder="1" applyAlignment="1">
      <alignment horizontal="right"/>
    </xf>
    <xf numFmtId="0" fontId="63" fillId="0" borderId="3" xfId="0" applyFont="1" applyBorder="1" applyAlignment="1">
      <alignment horizontal="left" indent="2"/>
    </xf>
    <xf numFmtId="164" fontId="57" fillId="2" borderId="25" xfId="1" quotePrefix="1" applyNumberFormat="1" applyFont="1" applyFill="1" applyBorder="1" applyAlignment="1">
      <alignment horizontal="right"/>
    </xf>
    <xf numFmtId="164" fontId="58" fillId="2" borderId="5" xfId="1" quotePrefix="1" applyNumberFormat="1" applyFont="1" applyFill="1" applyBorder="1" applyAlignment="1">
      <alignment horizontal="right"/>
    </xf>
    <xf numFmtId="164" fontId="2" fillId="3" borderId="25" xfId="1" quotePrefix="1" applyNumberFormat="1" applyFont="1" applyFill="1" applyBorder="1" applyAlignment="1">
      <alignment horizontal="right"/>
    </xf>
    <xf numFmtId="164" fontId="54" fillId="3" borderId="5" xfId="1" quotePrefix="1" applyNumberFormat="1" applyFont="1" applyFill="1" applyBorder="1" applyAlignment="1">
      <alignment horizontal="right"/>
    </xf>
    <xf numFmtId="166" fontId="67" fillId="0" borderId="0" xfId="2" applyNumberFormat="1" applyFont="1" applyAlignment="1">
      <alignment horizontal="right"/>
    </xf>
    <xf numFmtId="166" fontId="4" fillId="0" borderId="0" xfId="2" applyNumberFormat="1" applyFont="1" applyAlignment="1">
      <alignment horizontal="right"/>
    </xf>
    <xf numFmtId="165" fontId="61" fillId="0" borderId="4" xfId="1" applyNumberFormat="1" applyFont="1" applyBorder="1" applyAlignment="1">
      <alignment horizontal="right"/>
    </xf>
    <xf numFmtId="0" fontId="2" fillId="0" borderId="0" xfId="0" applyFont="1"/>
    <xf numFmtId="0" fontId="70" fillId="0" borderId="0" xfId="0" applyFont="1"/>
    <xf numFmtId="165" fontId="70" fillId="0" borderId="0" xfId="1" applyNumberFormat="1" applyFont="1" applyAlignment="1">
      <alignment horizontal="right"/>
    </xf>
    <xf numFmtId="0" fontId="61" fillId="0" borderId="10" xfId="0" applyFont="1" applyBorder="1" applyAlignment="1">
      <alignment horizontal="left"/>
    </xf>
    <xf numFmtId="0" fontId="63" fillId="0" borderId="3" xfId="0" applyFont="1" applyBorder="1" applyAlignment="1">
      <alignment horizontal="left" indent="3"/>
    </xf>
    <xf numFmtId="165" fontId="55" fillId="0" borderId="5" xfId="1" quotePrefix="1" applyNumberFormat="1" applyFont="1" applyBorder="1" applyAlignment="1">
      <alignment horizontal="left" indent="1"/>
    </xf>
    <xf numFmtId="0" fontId="55" fillId="0" borderId="0" xfId="0" applyFont="1" applyAlignment="1">
      <alignment horizontal="left" indent="1"/>
    </xf>
    <xf numFmtId="0" fontId="71" fillId="0" borderId="4" xfId="0" applyFont="1" applyBorder="1" applyAlignment="1">
      <alignment horizontal="left"/>
    </xf>
    <xf numFmtId="0" fontId="61" fillId="0" borderId="4" xfId="0" applyFont="1" applyBorder="1"/>
    <xf numFmtId="9" fontId="55" fillId="0" borderId="5" xfId="2" quotePrefix="1" applyFont="1" applyBorder="1" applyAlignment="1">
      <alignment horizontal="right"/>
    </xf>
    <xf numFmtId="166" fontId="55" fillId="0" borderId="5" xfId="2" quotePrefix="1" applyNumberFormat="1" applyFont="1" applyBorder="1" applyAlignment="1">
      <alignment horizontal="right"/>
    </xf>
    <xf numFmtId="43" fontId="64" fillId="0" borderId="0" xfId="1" applyFont="1" applyAlignment="1">
      <alignment horizontal="right"/>
    </xf>
    <xf numFmtId="165" fontId="72" fillId="0" borderId="5" xfId="1" quotePrefix="1" applyNumberFormat="1" applyFont="1" applyBorder="1" applyAlignment="1">
      <alignment horizontal="right"/>
    </xf>
    <xf numFmtId="41" fontId="64" fillId="0" borderId="0" xfId="1" quotePrefix="1" applyNumberFormat="1" applyFont="1" applyAlignment="1">
      <alignment horizontal="right"/>
    </xf>
    <xf numFmtId="41" fontId="63" fillId="0" borderId="0" xfId="1" quotePrefix="1" applyNumberFormat="1" applyFont="1" applyAlignment="1">
      <alignment horizontal="left" indent="1"/>
    </xf>
    <xf numFmtId="164" fontId="61" fillId="0" borderId="8" xfId="1" applyNumberFormat="1" applyFont="1" applyBorder="1" applyAlignment="1">
      <alignment horizontal="right"/>
    </xf>
    <xf numFmtId="0" fontId="70" fillId="0" borderId="4" xfId="0" applyFont="1" applyBorder="1" applyAlignment="1">
      <alignment horizontal="left"/>
    </xf>
    <xf numFmtId="165" fontId="62" fillId="0" borderId="5" xfId="1" applyNumberFormat="1" applyFont="1" applyBorder="1" applyAlignment="1">
      <alignment horizontal="right"/>
    </xf>
    <xf numFmtId="165" fontId="61" fillId="0" borderId="10" xfId="1" applyNumberFormat="1" applyFont="1" applyBorder="1" applyAlignment="1">
      <alignment horizontal="right"/>
    </xf>
    <xf numFmtId="165" fontId="61" fillId="10" borderId="6" xfId="1" applyNumberFormat="1" applyFont="1" applyFill="1" applyBorder="1" applyAlignment="1">
      <alignment horizontal="right"/>
    </xf>
    <xf numFmtId="165" fontId="61" fillId="10" borderId="10" xfId="1" applyNumberFormat="1" applyFont="1" applyFill="1" applyBorder="1" applyAlignment="1">
      <alignment horizontal="right"/>
    </xf>
    <xf numFmtId="43" fontId="63" fillId="0" borderId="7" xfId="1" applyFont="1" applyBorder="1" applyAlignment="1">
      <alignment horizontal="right"/>
    </xf>
    <xf numFmtId="43" fontId="63" fillId="0" borderId="8" xfId="1" applyFont="1" applyBorder="1" applyAlignment="1">
      <alignment horizontal="right"/>
    </xf>
    <xf numFmtId="165" fontId="61" fillId="11" borderId="5" xfId="1" applyNumberFormat="1" applyFont="1" applyFill="1" applyBorder="1" applyAlignment="1">
      <alignment horizontal="right"/>
    </xf>
    <xf numFmtId="9" fontId="4" fillId="0" borderId="0" xfId="1" applyNumberFormat="1" applyFont="1"/>
    <xf numFmtId="9" fontId="4" fillId="0" borderId="0" xfId="1" applyNumberFormat="1" applyFont="1" applyAlignment="1">
      <alignment horizontal="right"/>
    </xf>
    <xf numFmtId="165" fontId="61" fillId="0" borderId="0" xfId="2" applyNumberFormat="1" applyFont="1" applyAlignment="1">
      <alignment horizontal="right"/>
    </xf>
    <xf numFmtId="0" fontId="73" fillId="0" borderId="0" xfId="0" applyFont="1"/>
    <xf numFmtId="165" fontId="61" fillId="0" borderId="5" xfId="1" applyNumberFormat="1" applyFont="1" applyFill="1" applyBorder="1" applyAlignment="1">
      <alignment horizontal="right"/>
    </xf>
    <xf numFmtId="165" fontId="64" fillId="0" borderId="5" xfId="1" applyNumberFormat="1" applyFont="1" applyFill="1" applyBorder="1" applyAlignment="1">
      <alignment horizontal="right"/>
    </xf>
    <xf numFmtId="165" fontId="63" fillId="0" borderId="5" xfId="1" applyNumberFormat="1" applyFont="1" applyFill="1" applyBorder="1" applyAlignment="1">
      <alignment horizontal="right"/>
    </xf>
    <xf numFmtId="165" fontId="54" fillId="0" borderId="5" xfId="1" applyNumberFormat="1" applyFont="1" applyFill="1" applyBorder="1" applyAlignment="1">
      <alignment horizontal="right"/>
    </xf>
    <xf numFmtId="43" fontId="63" fillId="0" borderId="5" xfId="1" applyFont="1" applyFill="1" applyBorder="1" applyAlignment="1">
      <alignment horizontal="right"/>
    </xf>
    <xf numFmtId="165" fontId="61" fillId="0" borderId="0" xfId="1" applyNumberFormat="1" applyFont="1" applyFill="1" applyAlignment="1">
      <alignment horizontal="right"/>
    </xf>
    <xf numFmtId="165" fontId="63" fillId="0" borderId="0" xfId="1" applyNumberFormat="1" applyFont="1" applyFill="1" applyAlignment="1">
      <alignment horizontal="right"/>
    </xf>
    <xf numFmtId="165" fontId="64" fillId="0" borderId="0" xfId="1" applyNumberFormat="1" applyFont="1" applyFill="1" applyAlignment="1">
      <alignment horizontal="right"/>
    </xf>
    <xf numFmtId="43" fontId="63" fillId="0" borderId="0" xfId="1" applyFont="1" applyFill="1" applyAlignment="1">
      <alignment horizontal="right"/>
    </xf>
    <xf numFmtId="43" fontId="63" fillId="0" borderId="7" xfId="1" applyFont="1" applyFill="1" applyBorder="1" applyAlignment="1">
      <alignment horizontal="right"/>
    </xf>
    <xf numFmtId="0" fontId="4" fillId="0" borderId="0" xfId="0" applyFont="1" applyFill="1"/>
    <xf numFmtId="0" fontId="55" fillId="0" borderId="0" xfId="0" applyFont="1" applyFill="1" applyAlignment="1">
      <alignment horizontal="left" indent="1"/>
    </xf>
    <xf numFmtId="9" fontId="61" fillId="0" borderId="0" xfId="2" applyFont="1" applyFill="1" applyAlignment="1">
      <alignment horizontal="right"/>
    </xf>
    <xf numFmtId="0" fontId="55" fillId="0" borderId="0" xfId="0" applyFont="1" applyFill="1"/>
    <xf numFmtId="43" fontId="61" fillId="0" borderId="0" xfId="1" applyFont="1" applyFill="1" applyAlignment="1">
      <alignment horizontal="right"/>
    </xf>
    <xf numFmtId="0" fontId="68" fillId="0" borderId="0" xfId="0" applyFont="1" applyFill="1"/>
    <xf numFmtId="166" fontId="61" fillId="0" borderId="0" xfId="2" applyNumberFormat="1" applyFont="1" applyFill="1" applyAlignment="1">
      <alignment horizontal="right"/>
    </xf>
    <xf numFmtId="0" fontId="61" fillId="0" borderId="0" xfId="0" applyFont="1" applyFill="1"/>
    <xf numFmtId="7" fontId="61" fillId="0" borderId="0" xfId="1" applyNumberFormat="1" applyFont="1" applyFill="1" applyAlignment="1">
      <alignment horizontal="right"/>
    </xf>
    <xf numFmtId="166" fontId="61" fillId="0" borderId="5" xfId="2" applyNumberFormat="1" applyFont="1" applyFill="1" applyBorder="1" applyAlignment="1">
      <alignment horizontal="right"/>
    </xf>
    <xf numFmtId="0" fontId="70" fillId="0" borderId="0" xfId="0" applyFont="1" applyFill="1"/>
    <xf numFmtId="165" fontId="61" fillId="0" borderId="6" xfId="1" applyNumberFormat="1" applyFont="1" applyFill="1" applyBorder="1" applyAlignment="1">
      <alignment horizontal="right"/>
    </xf>
    <xf numFmtId="9" fontId="67" fillId="0" borderId="0" xfId="2" applyFont="1" applyAlignment="1">
      <alignment horizontal="right"/>
    </xf>
    <xf numFmtId="43" fontId="61" fillId="0" borderId="0" xfId="1" quotePrefix="1" applyFont="1" applyFill="1" applyAlignment="1">
      <alignment horizontal="right" wrapText="1"/>
    </xf>
    <xf numFmtId="43" fontId="4" fillId="0" borderId="0" xfId="1" applyNumberFormat="1" applyFont="1" applyAlignment="1">
      <alignment horizontal="right"/>
    </xf>
    <xf numFmtId="9" fontId="4" fillId="0" borderId="0" xfId="2" applyFont="1" applyFill="1" applyAlignment="1">
      <alignment horizontal="right"/>
    </xf>
    <xf numFmtId="165" fontId="4" fillId="0" borderId="0" xfId="1" applyNumberFormat="1" applyFont="1" applyFill="1" applyAlignment="1">
      <alignment horizontal="right"/>
    </xf>
    <xf numFmtId="165" fontId="54" fillId="0" borderId="0" xfId="1" applyNumberFormat="1" applyFont="1" applyFill="1" applyAlignment="1">
      <alignment horizontal="right"/>
    </xf>
    <xf numFmtId="9" fontId="67" fillId="0" borderId="0" xfId="2" applyFont="1" applyFill="1" applyAlignment="1">
      <alignment horizontal="right"/>
    </xf>
    <xf numFmtId="165" fontId="61" fillId="0" borderId="7" xfId="1" applyNumberFormat="1" applyFont="1" applyFill="1" applyBorder="1" applyAlignment="1">
      <alignment horizontal="right"/>
    </xf>
    <xf numFmtId="43" fontId="63" fillId="0" borderId="8" xfId="1" applyFont="1" applyFill="1" applyBorder="1" applyAlignment="1">
      <alignment horizontal="right"/>
    </xf>
    <xf numFmtId="0" fontId="61" fillId="0" borderId="3" xfId="0" applyFont="1" applyBorder="1" applyAlignment="1">
      <alignment horizontal="left"/>
    </xf>
    <xf numFmtId="0" fontId="61" fillId="0" borderId="4" xfId="0" applyFont="1" applyBorder="1" applyAlignment="1">
      <alignment horizontal="left"/>
    </xf>
    <xf numFmtId="9" fontId="4" fillId="0" borderId="0" xfId="1" applyNumberFormat="1" applyFont="1" applyFill="1"/>
    <xf numFmtId="165" fontId="61" fillId="0" borderId="10" xfId="1" applyNumberFormat="1" applyFont="1" applyFill="1" applyBorder="1" applyAlignment="1">
      <alignment horizontal="right"/>
    </xf>
    <xf numFmtId="0" fontId="63" fillId="0" borderId="0" xfId="0" applyFont="1" applyFill="1"/>
    <xf numFmtId="9" fontId="61" fillId="0" borderId="5" xfId="2" applyFont="1" applyFill="1" applyBorder="1" applyAlignment="1">
      <alignment horizontal="right"/>
    </xf>
    <xf numFmtId="43" fontId="61" fillId="0" borderId="5" xfId="1" applyNumberFormat="1" applyFont="1" applyBorder="1" applyAlignment="1">
      <alignment horizontal="right"/>
    </xf>
    <xf numFmtId="166" fontId="61" fillId="11" borderId="5" xfId="2" applyNumberFormat="1" applyFont="1" applyFill="1" applyBorder="1" applyAlignment="1">
      <alignment horizontal="right"/>
    </xf>
    <xf numFmtId="9" fontId="61" fillId="0" borderId="0" xfId="1" applyNumberFormat="1" applyFont="1" applyFill="1"/>
    <xf numFmtId="166" fontId="4" fillId="0" borderId="0" xfId="2" applyNumberFormat="1" applyFont="1" applyFill="1" applyAlignment="1">
      <alignment horizontal="right"/>
    </xf>
    <xf numFmtId="0" fontId="63" fillId="0" borderId="1" xfId="0" applyFont="1" applyFill="1" applyBorder="1" applyAlignment="1">
      <alignment horizontal="left"/>
    </xf>
    <xf numFmtId="5" fontId="63" fillId="0" borderId="11" xfId="1" applyNumberFormat="1" applyFont="1" applyFill="1" applyBorder="1" applyAlignment="1">
      <alignment horizontal="right"/>
    </xf>
    <xf numFmtId="43" fontId="4" fillId="0" borderId="0" xfId="1" applyFont="1" applyFill="1" applyAlignment="1">
      <alignment horizontal="right"/>
    </xf>
    <xf numFmtId="20" fontId="4" fillId="0" borderId="0" xfId="1" applyNumberFormat="1" applyFont="1" applyFill="1" applyAlignment="1">
      <alignment horizontal="right"/>
    </xf>
    <xf numFmtId="43" fontId="61" fillId="0" borderId="0" xfId="1" applyFont="1" applyFill="1" applyAlignment="1">
      <alignment horizontal="left"/>
    </xf>
    <xf numFmtId="165" fontId="61" fillId="0" borderId="0" xfId="1" applyNumberFormat="1" applyFont="1" applyFill="1" applyAlignment="1">
      <alignment horizontal="left"/>
    </xf>
    <xf numFmtId="0" fontId="63" fillId="0" borderId="3" xfId="0" applyFont="1" applyFill="1" applyBorder="1" applyAlignment="1">
      <alignment horizontal="left"/>
    </xf>
    <xf numFmtId="5" fontId="65" fillId="0" borderId="4" xfId="1" applyNumberFormat="1" applyFont="1" applyFill="1" applyBorder="1" applyAlignment="1">
      <alignment horizontal="right"/>
    </xf>
    <xf numFmtId="5" fontId="63" fillId="0" borderId="4" xfId="1" applyNumberFormat="1" applyFont="1" applyFill="1" applyBorder="1" applyAlignment="1">
      <alignment horizontal="right"/>
    </xf>
    <xf numFmtId="167" fontId="61" fillId="0" borderId="0" xfId="1" applyNumberFormat="1" applyFont="1" applyFill="1" applyAlignment="1">
      <alignment horizontal="right"/>
    </xf>
    <xf numFmtId="166" fontId="61" fillId="0" borderId="0" xfId="2" applyNumberFormat="1" applyFont="1" applyFill="1" applyAlignment="1">
      <alignment horizontal="left"/>
    </xf>
    <xf numFmtId="0" fontId="63" fillId="0" borderId="21" xfId="0" applyFont="1" applyFill="1" applyBorder="1" applyAlignment="1">
      <alignment horizontal="left"/>
    </xf>
    <xf numFmtId="5" fontId="63" fillId="0" borderId="22" xfId="1" applyNumberFormat="1" applyFont="1" applyFill="1" applyBorder="1" applyAlignment="1">
      <alignment horizontal="right"/>
    </xf>
    <xf numFmtId="9" fontId="61" fillId="0" borderId="0" xfId="1" applyNumberFormat="1" applyFont="1" applyFill="1" applyAlignment="1">
      <alignment horizontal="left"/>
    </xf>
    <xf numFmtId="10" fontId="61" fillId="0" borderId="0" xfId="1" applyNumberFormat="1" applyFont="1" applyFill="1" applyAlignment="1">
      <alignment horizontal="right"/>
    </xf>
    <xf numFmtId="9" fontId="61" fillId="0" borderId="0" xfId="1" applyNumberFormat="1" applyFont="1" applyFill="1" applyAlignment="1">
      <alignment horizontal="right"/>
    </xf>
    <xf numFmtId="225" fontId="4" fillId="0" borderId="0" xfId="333" applyNumberFormat="1" applyFont="1" applyAlignment="1">
      <alignment horizontal="right"/>
    </xf>
    <xf numFmtId="225" fontId="0" fillId="0" borderId="0" xfId="333" applyNumberFormat="1" applyFont="1"/>
    <xf numFmtId="9" fontId="61" fillId="10" borderId="0" xfId="2" applyNumberFormat="1" applyFont="1" applyFill="1" applyAlignment="1">
      <alignment horizontal="right"/>
    </xf>
    <xf numFmtId="165" fontId="61" fillId="0" borderId="0" xfId="1" applyNumberFormat="1" applyFont="1" applyFill="1" applyBorder="1" applyAlignment="1">
      <alignment horizontal="right"/>
    </xf>
    <xf numFmtId="0" fontId="61" fillId="10" borderId="1" xfId="0" applyFont="1" applyFill="1" applyBorder="1" applyAlignment="1">
      <alignment horizontal="left"/>
    </xf>
    <xf numFmtId="0" fontId="61" fillId="10" borderId="11" xfId="0" applyFont="1" applyFill="1" applyBorder="1" applyAlignment="1">
      <alignment horizontal="left"/>
    </xf>
    <xf numFmtId="0" fontId="61" fillId="11" borderId="3" xfId="0" applyFont="1" applyFill="1" applyBorder="1" applyAlignment="1">
      <alignment horizontal="left"/>
    </xf>
    <xf numFmtId="0" fontId="61" fillId="11" borderId="4" xfId="0" applyFont="1" applyFill="1" applyBorder="1" applyAlignment="1">
      <alignment horizontal="left"/>
    </xf>
    <xf numFmtId="0" fontId="61" fillId="9" borderId="6" xfId="0" applyFont="1" applyFill="1" applyBorder="1" applyAlignment="1">
      <alignment horizontal="left"/>
    </xf>
    <xf numFmtId="0" fontId="61" fillId="9" borderId="10" xfId="0" applyFont="1" applyFill="1" applyBorder="1" applyAlignment="1">
      <alignment horizontal="left"/>
    </xf>
    <xf numFmtId="0" fontId="59" fillId="2" borderId="1" xfId="0" applyFont="1" applyFill="1" applyBorder="1" applyAlignment="1">
      <alignment horizontal="left"/>
    </xf>
    <xf numFmtId="0" fontId="59" fillId="2" borderId="11" xfId="0" applyFont="1" applyFill="1" applyBorder="1" applyAlignment="1">
      <alignment horizontal="left"/>
    </xf>
    <xf numFmtId="0" fontId="60" fillId="2" borderId="3" xfId="0" applyFont="1" applyFill="1" applyBorder="1" applyAlignment="1">
      <alignment horizontal="left"/>
    </xf>
    <xf numFmtId="0" fontId="60" fillId="2" borderId="4" xfId="0" applyFont="1" applyFill="1" applyBorder="1" applyAlignment="1">
      <alignment horizontal="left"/>
    </xf>
    <xf numFmtId="0" fontId="61" fillId="0" borderId="23" xfId="0" applyFont="1" applyBorder="1" applyAlignment="1">
      <alignment horizontal="left" vertical="top" wrapText="1"/>
    </xf>
    <xf numFmtId="0" fontId="61" fillId="0" borderId="24" xfId="0" applyFont="1" applyBorder="1" applyAlignment="1">
      <alignment horizontal="left" vertical="top" wrapText="1"/>
    </xf>
    <xf numFmtId="0" fontId="61" fillId="0" borderId="6" xfId="0" applyFont="1" applyBorder="1" applyAlignment="1">
      <alignment horizontal="left"/>
    </xf>
    <xf numFmtId="0" fontId="61" fillId="0" borderId="10" xfId="0" applyFont="1" applyBorder="1" applyAlignment="1">
      <alignment horizontal="left"/>
    </xf>
    <xf numFmtId="0" fontId="61" fillId="0" borderId="3" xfId="0" applyFont="1" applyBorder="1" applyAlignment="1">
      <alignment horizontal="left"/>
    </xf>
    <xf numFmtId="0" fontId="61" fillId="0" borderId="4" xfId="0" applyFont="1" applyBorder="1" applyAlignment="1">
      <alignment horizontal="left"/>
    </xf>
    <xf numFmtId="0" fontId="63" fillId="0" borderId="3" xfId="0" applyFont="1" applyBorder="1" applyAlignment="1">
      <alignment horizontal="left" indent="3"/>
    </xf>
    <xf numFmtId="0" fontId="63" fillId="0" borderId="4" xfId="0" applyFont="1" applyBorder="1" applyAlignment="1">
      <alignment horizontal="left" indent="3"/>
    </xf>
    <xf numFmtId="0" fontId="63" fillId="0" borderId="6" xfId="0" applyFont="1" applyBorder="1" applyAlignment="1">
      <alignment horizontal="left" indent="1"/>
    </xf>
    <xf numFmtId="0" fontId="63" fillId="0" borderId="10" xfId="0" applyFont="1" applyBorder="1" applyAlignment="1">
      <alignment horizontal="left" indent="1"/>
    </xf>
    <xf numFmtId="0" fontId="63" fillId="0" borderId="3" xfId="0" applyFont="1" applyBorder="1" applyAlignment="1">
      <alignment horizontal="left" indent="1"/>
    </xf>
    <xf numFmtId="0" fontId="63" fillId="0" borderId="4" xfId="0" applyFont="1" applyBorder="1" applyAlignment="1">
      <alignment horizontal="left" indent="1"/>
    </xf>
    <xf numFmtId="0" fontId="60" fillId="0" borderId="4" xfId="0" applyFont="1" applyBorder="1" applyAlignment="1">
      <alignment horizontal="center" wrapText="1"/>
    </xf>
    <xf numFmtId="0" fontId="59" fillId="2" borderId="3" xfId="0" applyFont="1" applyFill="1" applyBorder="1" applyAlignment="1">
      <alignment horizontal="left"/>
    </xf>
    <xf numFmtId="0" fontId="59" fillId="2" borderId="4" xfId="0" applyFont="1" applyFill="1" applyBorder="1" applyAlignment="1">
      <alignment horizontal="left"/>
    </xf>
    <xf numFmtId="0" fontId="2" fillId="0" borderId="0" xfId="0" applyFont="1" applyAlignment="1">
      <alignment horizontal="center" vertical="top" wrapText="1"/>
    </xf>
  </cellXfs>
  <cellStyles count="334">
    <cellStyle name="_%(SignOnly)" xfId="6" xr:uid="{00000000-0005-0000-0000-000000000000}"/>
    <cellStyle name="_%(SignSpaceOnly)" xfId="7" xr:uid="{00000000-0005-0000-0000-000001000000}"/>
    <cellStyle name="_Comma" xfId="8" xr:uid="{00000000-0005-0000-0000-000002000000}"/>
    <cellStyle name="_Currency" xfId="9" xr:uid="{00000000-0005-0000-0000-000003000000}"/>
    <cellStyle name="_CurrencySpace" xfId="10" xr:uid="{00000000-0005-0000-0000-000004000000}"/>
    <cellStyle name="_Euro" xfId="11" xr:uid="{00000000-0005-0000-0000-000005000000}"/>
    <cellStyle name="_Heading" xfId="12" xr:uid="{00000000-0005-0000-0000-000006000000}"/>
    <cellStyle name="_Heading_prestemp" xfId="13" xr:uid="{00000000-0005-0000-0000-000007000000}"/>
    <cellStyle name="_Heading_prestemp_1st Qtr PL FY07" xfId="14" xr:uid="{00000000-0005-0000-0000-000008000000}"/>
    <cellStyle name="_Heading_prestemp_Financial Statements" xfId="15" xr:uid="{00000000-0005-0000-0000-000009000000}"/>
    <cellStyle name="_Heading_prestemp_Financial Statementsvs1" xfId="16" xr:uid="{00000000-0005-0000-0000-00000A000000}"/>
    <cellStyle name="_Highlight" xfId="17" xr:uid="{00000000-0005-0000-0000-00000B000000}"/>
    <cellStyle name="_Multiple" xfId="18" xr:uid="{00000000-0005-0000-0000-00000C000000}"/>
    <cellStyle name="_MultipleSpace" xfId="19" xr:uid="{00000000-0005-0000-0000-00000D000000}"/>
    <cellStyle name="_SubHeading" xfId="20" xr:uid="{00000000-0005-0000-0000-00000E000000}"/>
    <cellStyle name="_SubHeading_prestemp" xfId="21" xr:uid="{00000000-0005-0000-0000-00000F000000}"/>
    <cellStyle name="_SubHeading_prestemp_1st Qtr PL FY07" xfId="22" xr:uid="{00000000-0005-0000-0000-000010000000}"/>
    <cellStyle name="_SubHeading_prestemp_Financial Statements" xfId="23" xr:uid="{00000000-0005-0000-0000-000011000000}"/>
    <cellStyle name="_SubHeading_prestemp_Financial Statementsvs1" xfId="24" xr:uid="{00000000-0005-0000-0000-000012000000}"/>
    <cellStyle name="_Table" xfId="25" xr:uid="{00000000-0005-0000-0000-000013000000}"/>
    <cellStyle name="_TableHead" xfId="26" xr:uid="{00000000-0005-0000-0000-000014000000}"/>
    <cellStyle name="_TableRowHead" xfId="27" xr:uid="{00000000-0005-0000-0000-000015000000}"/>
    <cellStyle name="_TableSuperHead" xfId="28" xr:uid="{00000000-0005-0000-0000-000016000000}"/>
    <cellStyle name="=C:\WINNT\SYSTEM32\COMMAND.COM" xfId="29" xr:uid="{00000000-0005-0000-0000-000017000000}"/>
    <cellStyle name="=C:\WINNT\SYSTEM32\COMMAND.COM 2" xfId="30" xr:uid="{00000000-0005-0000-0000-000018000000}"/>
    <cellStyle name="6-0" xfId="31" xr:uid="{00000000-0005-0000-0000-000019000000}"/>
    <cellStyle name="Bold12" xfId="32" xr:uid="{00000000-0005-0000-0000-00001A000000}"/>
    <cellStyle name="BoldItal12" xfId="33" xr:uid="{00000000-0005-0000-0000-00001B000000}"/>
    <cellStyle name="Border" xfId="34" xr:uid="{00000000-0005-0000-0000-00001C000000}"/>
    <cellStyle name="Border 10" xfId="35" xr:uid="{00000000-0005-0000-0000-00001D000000}"/>
    <cellStyle name="Border 11" xfId="36" xr:uid="{00000000-0005-0000-0000-00001E000000}"/>
    <cellStyle name="Border 12" xfId="37" xr:uid="{00000000-0005-0000-0000-00001F000000}"/>
    <cellStyle name="Border 13" xfId="38" xr:uid="{00000000-0005-0000-0000-000020000000}"/>
    <cellStyle name="Border 14" xfId="39" xr:uid="{00000000-0005-0000-0000-000021000000}"/>
    <cellStyle name="Border 15" xfId="40" xr:uid="{00000000-0005-0000-0000-000022000000}"/>
    <cellStyle name="Border 16" xfId="41" xr:uid="{00000000-0005-0000-0000-000023000000}"/>
    <cellStyle name="Border 17" xfId="42" xr:uid="{00000000-0005-0000-0000-000024000000}"/>
    <cellStyle name="Border 18" xfId="43" xr:uid="{00000000-0005-0000-0000-000025000000}"/>
    <cellStyle name="Border 19" xfId="44" xr:uid="{00000000-0005-0000-0000-000026000000}"/>
    <cellStyle name="Border 2" xfId="45" xr:uid="{00000000-0005-0000-0000-000027000000}"/>
    <cellStyle name="Border 20" xfId="46" xr:uid="{00000000-0005-0000-0000-000028000000}"/>
    <cellStyle name="Border 21" xfId="47" xr:uid="{00000000-0005-0000-0000-000029000000}"/>
    <cellStyle name="Border 22" xfId="48" xr:uid="{00000000-0005-0000-0000-00002A000000}"/>
    <cellStyle name="Border 23" xfId="49" xr:uid="{00000000-0005-0000-0000-00002B000000}"/>
    <cellStyle name="Border 24" xfId="50" xr:uid="{00000000-0005-0000-0000-00002C000000}"/>
    <cellStyle name="Border 25" xfId="51" xr:uid="{00000000-0005-0000-0000-00002D000000}"/>
    <cellStyle name="Border 26" xfId="52" xr:uid="{00000000-0005-0000-0000-00002E000000}"/>
    <cellStyle name="Border 27" xfId="53" xr:uid="{00000000-0005-0000-0000-00002F000000}"/>
    <cellStyle name="Border 28" xfId="54" xr:uid="{00000000-0005-0000-0000-000030000000}"/>
    <cellStyle name="Border 29" xfId="55" xr:uid="{00000000-0005-0000-0000-000031000000}"/>
    <cellStyle name="Border 3" xfId="56" xr:uid="{00000000-0005-0000-0000-000032000000}"/>
    <cellStyle name="Border 30" xfId="57" xr:uid="{00000000-0005-0000-0000-000033000000}"/>
    <cellStyle name="Border 31" xfId="58" xr:uid="{00000000-0005-0000-0000-000034000000}"/>
    <cellStyle name="Border 32" xfId="59" xr:uid="{00000000-0005-0000-0000-000035000000}"/>
    <cellStyle name="Border 33" xfId="60" xr:uid="{00000000-0005-0000-0000-000036000000}"/>
    <cellStyle name="Border 34" xfId="61" xr:uid="{00000000-0005-0000-0000-000037000000}"/>
    <cellStyle name="Border 35" xfId="62" xr:uid="{00000000-0005-0000-0000-000038000000}"/>
    <cellStyle name="Border 36" xfId="63" xr:uid="{00000000-0005-0000-0000-000039000000}"/>
    <cellStyle name="Border 37" xfId="64" xr:uid="{00000000-0005-0000-0000-00003A000000}"/>
    <cellStyle name="Border 38" xfId="65" xr:uid="{00000000-0005-0000-0000-00003B000000}"/>
    <cellStyle name="Border 39" xfId="66" xr:uid="{00000000-0005-0000-0000-00003C000000}"/>
    <cellStyle name="Border 4" xfId="67" xr:uid="{00000000-0005-0000-0000-00003D000000}"/>
    <cellStyle name="Border 40" xfId="68" xr:uid="{00000000-0005-0000-0000-00003E000000}"/>
    <cellStyle name="Border 41" xfId="69" xr:uid="{00000000-0005-0000-0000-00003F000000}"/>
    <cellStyle name="Border 42" xfId="70" xr:uid="{00000000-0005-0000-0000-000040000000}"/>
    <cellStyle name="Border 5" xfId="71" xr:uid="{00000000-0005-0000-0000-000041000000}"/>
    <cellStyle name="Border 6" xfId="72" xr:uid="{00000000-0005-0000-0000-000042000000}"/>
    <cellStyle name="Border 7" xfId="73" xr:uid="{00000000-0005-0000-0000-000043000000}"/>
    <cellStyle name="Border 8" xfId="74" xr:uid="{00000000-0005-0000-0000-000044000000}"/>
    <cellStyle name="Border 9" xfId="75" xr:uid="{00000000-0005-0000-0000-000045000000}"/>
    <cellStyle name="Calc Currency (0)" xfId="76" xr:uid="{00000000-0005-0000-0000-000046000000}"/>
    <cellStyle name="Calc Currency (0) 2" xfId="77" xr:uid="{00000000-0005-0000-0000-000047000000}"/>
    <cellStyle name="Calc Currency (2)" xfId="78" xr:uid="{00000000-0005-0000-0000-000048000000}"/>
    <cellStyle name="Calc Currency (2) 2" xfId="79" xr:uid="{00000000-0005-0000-0000-000049000000}"/>
    <cellStyle name="Calc Percent (0)" xfId="80" xr:uid="{00000000-0005-0000-0000-00004A000000}"/>
    <cellStyle name="Calc Percent (0) 2" xfId="81" xr:uid="{00000000-0005-0000-0000-00004B000000}"/>
    <cellStyle name="Calc Percent (1)" xfId="82" xr:uid="{00000000-0005-0000-0000-00004C000000}"/>
    <cellStyle name="Calc Percent (1) 2" xfId="83" xr:uid="{00000000-0005-0000-0000-00004D000000}"/>
    <cellStyle name="Calc Percent (2)" xfId="84" xr:uid="{00000000-0005-0000-0000-00004E000000}"/>
    <cellStyle name="Calc Percent (2) 2" xfId="85" xr:uid="{00000000-0005-0000-0000-00004F000000}"/>
    <cellStyle name="Calc Units (0)" xfId="86" xr:uid="{00000000-0005-0000-0000-000050000000}"/>
    <cellStyle name="Calc Units (0) 2" xfId="87" xr:uid="{00000000-0005-0000-0000-000051000000}"/>
    <cellStyle name="Calc Units (1)" xfId="88" xr:uid="{00000000-0005-0000-0000-000052000000}"/>
    <cellStyle name="Calc Units (1) 2" xfId="89" xr:uid="{00000000-0005-0000-0000-000053000000}"/>
    <cellStyle name="Calc Units (2)" xfId="90" xr:uid="{00000000-0005-0000-0000-000054000000}"/>
    <cellStyle name="Calc Units (2) 2" xfId="91" xr:uid="{00000000-0005-0000-0000-000055000000}"/>
    <cellStyle name="Centered Heading" xfId="92" xr:uid="{00000000-0005-0000-0000-000056000000}"/>
    <cellStyle name="columns" xfId="93" xr:uid="{00000000-0005-0000-0000-000057000000}"/>
    <cellStyle name="Comma" xfId="1" builtinId="3"/>
    <cellStyle name="Comma  - Style1" xfId="94" xr:uid="{00000000-0005-0000-0000-000059000000}"/>
    <cellStyle name="Comma  - Style2" xfId="95" xr:uid="{00000000-0005-0000-0000-00005A000000}"/>
    <cellStyle name="Comma  - Style3" xfId="96" xr:uid="{00000000-0005-0000-0000-00005B000000}"/>
    <cellStyle name="Comma  - Style4" xfId="97" xr:uid="{00000000-0005-0000-0000-00005C000000}"/>
    <cellStyle name="Comma  - Style5" xfId="98" xr:uid="{00000000-0005-0000-0000-00005D000000}"/>
    <cellStyle name="Comma  - Style6" xfId="99" xr:uid="{00000000-0005-0000-0000-00005E000000}"/>
    <cellStyle name="Comma  - Style7" xfId="100" xr:uid="{00000000-0005-0000-0000-00005F000000}"/>
    <cellStyle name="Comma  - Style8" xfId="101" xr:uid="{00000000-0005-0000-0000-000060000000}"/>
    <cellStyle name="comma (0)" xfId="102" xr:uid="{00000000-0005-0000-0000-000061000000}"/>
    <cellStyle name="comma (0) 2" xfId="103" xr:uid="{00000000-0005-0000-0000-000062000000}"/>
    <cellStyle name="comma (0) 2 2" xfId="104" xr:uid="{00000000-0005-0000-0000-000063000000}"/>
    <cellStyle name="comma (0) 3" xfId="105" xr:uid="{00000000-0005-0000-0000-000064000000}"/>
    <cellStyle name="Comma [00]" xfId="106" xr:uid="{00000000-0005-0000-0000-000065000000}"/>
    <cellStyle name="Comma [00] 2" xfId="107" xr:uid="{00000000-0005-0000-0000-000066000000}"/>
    <cellStyle name="Comma 2" xfId="5" xr:uid="{00000000-0005-0000-0000-000067000000}"/>
    <cellStyle name="Comma 2 2" xfId="108" xr:uid="{00000000-0005-0000-0000-000068000000}"/>
    <cellStyle name="Comma 2 2 2" xfId="109" xr:uid="{00000000-0005-0000-0000-000069000000}"/>
    <cellStyle name="Comma 2 3" xfId="110" xr:uid="{00000000-0005-0000-0000-00006A000000}"/>
    <cellStyle name="Comma 2 4" xfId="111" xr:uid="{00000000-0005-0000-0000-00006B000000}"/>
    <cellStyle name="Comma 2 5" xfId="112" xr:uid="{00000000-0005-0000-0000-00006C000000}"/>
    <cellStyle name="Comma 2 6" xfId="113" xr:uid="{00000000-0005-0000-0000-00006D000000}"/>
    <cellStyle name="Comma 3" xfId="114" xr:uid="{00000000-0005-0000-0000-00006E000000}"/>
    <cellStyle name="Comma 3 2" xfId="115" xr:uid="{00000000-0005-0000-0000-00006F000000}"/>
    <cellStyle name="Comma 4" xfId="116" xr:uid="{00000000-0005-0000-0000-000070000000}"/>
    <cellStyle name="Comma 4 2" xfId="117" xr:uid="{00000000-0005-0000-0000-000071000000}"/>
    <cellStyle name="Comma 5" xfId="118" xr:uid="{00000000-0005-0000-0000-000072000000}"/>
    <cellStyle name="Comma 5 2" xfId="119" xr:uid="{00000000-0005-0000-0000-000073000000}"/>
    <cellStyle name="Comma Acctg" xfId="120" xr:uid="{00000000-0005-0000-0000-000074000000}"/>
    <cellStyle name="Comma Acctg 2" xfId="121" xr:uid="{00000000-0005-0000-0000-000075000000}"/>
    <cellStyle name="Comma0" xfId="122" xr:uid="{00000000-0005-0000-0000-000076000000}"/>
    <cellStyle name="Company Name" xfId="123" xr:uid="{00000000-0005-0000-0000-000077000000}"/>
    <cellStyle name="Contracts" xfId="124" xr:uid="{00000000-0005-0000-0000-000078000000}"/>
    <cellStyle name="CR Comma" xfId="125" xr:uid="{00000000-0005-0000-0000-000079000000}"/>
    <cellStyle name="CR Currency" xfId="126" xr:uid="{00000000-0005-0000-0000-00007A000000}"/>
    <cellStyle name="curr" xfId="127" xr:uid="{00000000-0005-0000-0000-00007B000000}"/>
    <cellStyle name="Currency" xfId="333" builtinId="4"/>
    <cellStyle name="Currency [00]" xfId="128" xr:uid="{00000000-0005-0000-0000-00007C000000}"/>
    <cellStyle name="Currency [00] 2" xfId="129" xr:uid="{00000000-0005-0000-0000-00007D000000}"/>
    <cellStyle name="Currency 2" xfId="130" xr:uid="{00000000-0005-0000-0000-00007E000000}"/>
    <cellStyle name="Currency Acctg" xfId="131" xr:uid="{00000000-0005-0000-0000-00007F000000}"/>
    <cellStyle name="Currency0" xfId="132" xr:uid="{00000000-0005-0000-0000-000080000000}"/>
    <cellStyle name="Data" xfId="133" xr:uid="{00000000-0005-0000-0000-000081000000}"/>
    <cellStyle name="Date" xfId="134" xr:uid="{00000000-0005-0000-0000-000082000000}"/>
    <cellStyle name="Date Short" xfId="135" xr:uid="{00000000-0005-0000-0000-000083000000}"/>
    <cellStyle name="DateJoel" xfId="136" xr:uid="{00000000-0005-0000-0000-000084000000}"/>
    <cellStyle name="debbie" xfId="137" xr:uid="{00000000-0005-0000-0000-000085000000}"/>
    <cellStyle name="Dezimal [0]_laroux" xfId="138" xr:uid="{00000000-0005-0000-0000-000086000000}"/>
    <cellStyle name="Dezimal_laroux" xfId="139" xr:uid="{00000000-0005-0000-0000-000087000000}"/>
    <cellStyle name="Enter Currency (0)" xfId="140" xr:uid="{00000000-0005-0000-0000-000088000000}"/>
    <cellStyle name="Enter Currency (0) 2" xfId="141" xr:uid="{00000000-0005-0000-0000-000089000000}"/>
    <cellStyle name="Enter Currency (2)" xfId="142" xr:uid="{00000000-0005-0000-0000-00008A000000}"/>
    <cellStyle name="Enter Currency (2) 2" xfId="143" xr:uid="{00000000-0005-0000-0000-00008B000000}"/>
    <cellStyle name="Enter Units (0)" xfId="144" xr:uid="{00000000-0005-0000-0000-00008C000000}"/>
    <cellStyle name="Enter Units (0) 2" xfId="145" xr:uid="{00000000-0005-0000-0000-00008D000000}"/>
    <cellStyle name="Enter Units (1)" xfId="146" xr:uid="{00000000-0005-0000-0000-00008E000000}"/>
    <cellStyle name="Enter Units (1) 2" xfId="147" xr:uid="{00000000-0005-0000-0000-00008F000000}"/>
    <cellStyle name="Enter Units (2)" xfId="148" xr:uid="{00000000-0005-0000-0000-000090000000}"/>
    <cellStyle name="Enter Units (2) 2" xfId="149" xr:uid="{00000000-0005-0000-0000-000091000000}"/>
    <cellStyle name="eps" xfId="150" xr:uid="{00000000-0005-0000-0000-000092000000}"/>
    <cellStyle name="Euro" xfId="151" xr:uid="{00000000-0005-0000-0000-000093000000}"/>
    <cellStyle name="Grey" xfId="152" xr:uid="{00000000-0005-0000-0000-000094000000}"/>
    <cellStyle name="Header1" xfId="153" xr:uid="{00000000-0005-0000-0000-000095000000}"/>
    <cellStyle name="Header2" xfId="154" xr:uid="{00000000-0005-0000-0000-000096000000}"/>
    <cellStyle name="Header2 10" xfId="155" xr:uid="{00000000-0005-0000-0000-000097000000}"/>
    <cellStyle name="Header2 11" xfId="156" xr:uid="{00000000-0005-0000-0000-000098000000}"/>
    <cellStyle name="Header2 12" xfId="157" xr:uid="{00000000-0005-0000-0000-000099000000}"/>
    <cellStyle name="Header2 13" xfId="158" xr:uid="{00000000-0005-0000-0000-00009A000000}"/>
    <cellStyle name="Header2 14" xfId="159" xr:uid="{00000000-0005-0000-0000-00009B000000}"/>
    <cellStyle name="Header2 15" xfId="160" xr:uid="{00000000-0005-0000-0000-00009C000000}"/>
    <cellStyle name="Header2 16" xfId="161" xr:uid="{00000000-0005-0000-0000-00009D000000}"/>
    <cellStyle name="Header2 17" xfId="162" xr:uid="{00000000-0005-0000-0000-00009E000000}"/>
    <cellStyle name="Header2 18" xfId="163" xr:uid="{00000000-0005-0000-0000-00009F000000}"/>
    <cellStyle name="Header2 19" xfId="164" xr:uid="{00000000-0005-0000-0000-0000A0000000}"/>
    <cellStyle name="Header2 2" xfId="165" xr:uid="{00000000-0005-0000-0000-0000A1000000}"/>
    <cellStyle name="Header2 20" xfId="166" xr:uid="{00000000-0005-0000-0000-0000A2000000}"/>
    <cellStyle name="Header2 21" xfId="167" xr:uid="{00000000-0005-0000-0000-0000A3000000}"/>
    <cellStyle name="Header2 22" xfId="168" xr:uid="{00000000-0005-0000-0000-0000A4000000}"/>
    <cellStyle name="Header2 23" xfId="169" xr:uid="{00000000-0005-0000-0000-0000A5000000}"/>
    <cellStyle name="Header2 24" xfId="170" xr:uid="{00000000-0005-0000-0000-0000A6000000}"/>
    <cellStyle name="Header2 25" xfId="171" xr:uid="{00000000-0005-0000-0000-0000A7000000}"/>
    <cellStyle name="Header2 26" xfId="172" xr:uid="{00000000-0005-0000-0000-0000A8000000}"/>
    <cellStyle name="Header2 27" xfId="173" xr:uid="{00000000-0005-0000-0000-0000A9000000}"/>
    <cellStyle name="Header2 28" xfId="174" xr:uid="{00000000-0005-0000-0000-0000AA000000}"/>
    <cellStyle name="Header2 29" xfId="175" xr:uid="{00000000-0005-0000-0000-0000AB000000}"/>
    <cellStyle name="Header2 3" xfId="176" xr:uid="{00000000-0005-0000-0000-0000AC000000}"/>
    <cellStyle name="Header2 30" xfId="177" xr:uid="{00000000-0005-0000-0000-0000AD000000}"/>
    <cellStyle name="Header2 31" xfId="178" xr:uid="{00000000-0005-0000-0000-0000AE000000}"/>
    <cellStyle name="Header2 32" xfId="179" xr:uid="{00000000-0005-0000-0000-0000AF000000}"/>
    <cellStyle name="Header2 33" xfId="180" xr:uid="{00000000-0005-0000-0000-0000B0000000}"/>
    <cellStyle name="Header2 34" xfId="181" xr:uid="{00000000-0005-0000-0000-0000B1000000}"/>
    <cellStyle name="Header2 35" xfId="182" xr:uid="{00000000-0005-0000-0000-0000B2000000}"/>
    <cellStyle name="Header2 36" xfId="183" xr:uid="{00000000-0005-0000-0000-0000B3000000}"/>
    <cellStyle name="Header2 37" xfId="184" xr:uid="{00000000-0005-0000-0000-0000B4000000}"/>
    <cellStyle name="Header2 38" xfId="185" xr:uid="{00000000-0005-0000-0000-0000B5000000}"/>
    <cellStyle name="Header2 39" xfId="186" xr:uid="{00000000-0005-0000-0000-0000B6000000}"/>
    <cellStyle name="Header2 4" xfId="187" xr:uid="{00000000-0005-0000-0000-0000B7000000}"/>
    <cellStyle name="Header2 40" xfId="188" xr:uid="{00000000-0005-0000-0000-0000B8000000}"/>
    <cellStyle name="Header2 41" xfId="189" xr:uid="{00000000-0005-0000-0000-0000B9000000}"/>
    <cellStyle name="Header2 42" xfId="190" xr:uid="{00000000-0005-0000-0000-0000BA000000}"/>
    <cellStyle name="Header2 5" xfId="191" xr:uid="{00000000-0005-0000-0000-0000BB000000}"/>
    <cellStyle name="Header2 6" xfId="192" xr:uid="{00000000-0005-0000-0000-0000BC000000}"/>
    <cellStyle name="Header2 7" xfId="193" xr:uid="{00000000-0005-0000-0000-0000BD000000}"/>
    <cellStyle name="Header2 8" xfId="194" xr:uid="{00000000-0005-0000-0000-0000BE000000}"/>
    <cellStyle name="Header2 9" xfId="195" xr:uid="{00000000-0005-0000-0000-0000BF000000}"/>
    <cellStyle name="Heading" xfId="196" xr:uid="{00000000-0005-0000-0000-0000C0000000}"/>
    <cellStyle name="Heading 1 2" xfId="197" xr:uid="{00000000-0005-0000-0000-0000C1000000}"/>
    <cellStyle name="Heading 1 3" xfId="198" xr:uid="{00000000-0005-0000-0000-0000C2000000}"/>
    <cellStyle name="Heading 1 4" xfId="199" xr:uid="{00000000-0005-0000-0000-0000C3000000}"/>
    <cellStyle name="Heading 2 2" xfId="200" xr:uid="{00000000-0005-0000-0000-0000C4000000}"/>
    <cellStyle name="Heading 2 3" xfId="201" xr:uid="{00000000-0005-0000-0000-0000C5000000}"/>
    <cellStyle name="Heading 2 4" xfId="202" xr:uid="{00000000-0005-0000-0000-0000C6000000}"/>
    <cellStyle name="Heading No Underline" xfId="203" xr:uid="{00000000-0005-0000-0000-0000C7000000}"/>
    <cellStyle name="Heading With Underline" xfId="204" xr:uid="{00000000-0005-0000-0000-0000C8000000}"/>
    <cellStyle name="Hyperlink" xfId="329" builtinId="8"/>
    <cellStyle name="Hyperlink 2" xfId="205" xr:uid="{00000000-0005-0000-0000-0000CA000000}"/>
    <cellStyle name="Hyperlink 2 2" xfId="206" xr:uid="{00000000-0005-0000-0000-0000CB000000}"/>
    <cellStyle name="Hyperlink 2 2 2" xfId="207" xr:uid="{00000000-0005-0000-0000-0000CC000000}"/>
    <cellStyle name="Hyperlink 3" xfId="208" xr:uid="{00000000-0005-0000-0000-0000CD000000}"/>
    <cellStyle name="Hyperlink 4" xfId="209" xr:uid="{00000000-0005-0000-0000-0000CE000000}"/>
    <cellStyle name="Input [yellow]" xfId="210" xr:uid="{00000000-0005-0000-0000-0000CF000000}"/>
    <cellStyle name="Link Currency (0)" xfId="211" xr:uid="{00000000-0005-0000-0000-0000D0000000}"/>
    <cellStyle name="Link Currency (0) 2" xfId="212" xr:uid="{00000000-0005-0000-0000-0000D1000000}"/>
    <cellStyle name="Link Currency (2)" xfId="213" xr:uid="{00000000-0005-0000-0000-0000D2000000}"/>
    <cellStyle name="Link Currency (2) 2" xfId="214" xr:uid="{00000000-0005-0000-0000-0000D3000000}"/>
    <cellStyle name="Link Units (0)" xfId="215" xr:uid="{00000000-0005-0000-0000-0000D4000000}"/>
    <cellStyle name="Link Units (0) 2" xfId="216" xr:uid="{00000000-0005-0000-0000-0000D5000000}"/>
    <cellStyle name="Link Units (1)" xfId="217" xr:uid="{00000000-0005-0000-0000-0000D6000000}"/>
    <cellStyle name="Link Units (1) 2" xfId="218" xr:uid="{00000000-0005-0000-0000-0000D7000000}"/>
    <cellStyle name="Link Units (2)" xfId="219" xr:uid="{00000000-0005-0000-0000-0000D8000000}"/>
    <cellStyle name="Link Units (2) 2" xfId="220" xr:uid="{00000000-0005-0000-0000-0000D9000000}"/>
    <cellStyle name="Millares [0]_pldt" xfId="221" xr:uid="{00000000-0005-0000-0000-0000DA000000}"/>
    <cellStyle name="Millares_pldt" xfId="222" xr:uid="{00000000-0005-0000-0000-0000DB000000}"/>
    <cellStyle name="Milliers [0]_AR1194" xfId="223" xr:uid="{00000000-0005-0000-0000-0000DC000000}"/>
    <cellStyle name="Milliers_AR1194" xfId="224" xr:uid="{00000000-0005-0000-0000-0000DD000000}"/>
    <cellStyle name="Moneda [0]_pldt" xfId="225" xr:uid="{00000000-0005-0000-0000-0000DE000000}"/>
    <cellStyle name="Moneda_pldt" xfId="226" xr:uid="{00000000-0005-0000-0000-0000DF000000}"/>
    <cellStyle name="Monétaire [0]_AR1194" xfId="227" xr:uid="{00000000-0005-0000-0000-0000E0000000}"/>
    <cellStyle name="Monétaire_AR1194" xfId="228" xr:uid="{00000000-0005-0000-0000-0000E1000000}"/>
    <cellStyle name="negativ" xfId="229" xr:uid="{00000000-0005-0000-0000-0000E2000000}"/>
    <cellStyle name="no dec" xfId="230" xr:uid="{00000000-0005-0000-0000-0000E3000000}"/>
    <cellStyle name="nodollars" xfId="231" xr:uid="{00000000-0005-0000-0000-0000E4000000}"/>
    <cellStyle name="nodollars 2" xfId="232" xr:uid="{00000000-0005-0000-0000-0000E5000000}"/>
    <cellStyle name="Normal" xfId="0" builtinId="0"/>
    <cellStyle name="Normal - Style1" xfId="233" xr:uid="{00000000-0005-0000-0000-0000E7000000}"/>
    <cellStyle name="Normal - Style1 2" xfId="234" xr:uid="{00000000-0005-0000-0000-0000E8000000}"/>
    <cellStyle name="Normal - Style2" xfId="235" xr:uid="{00000000-0005-0000-0000-0000E9000000}"/>
    <cellStyle name="Normal - Style3" xfId="236" xr:uid="{00000000-0005-0000-0000-0000EA000000}"/>
    <cellStyle name="Normal - Style4" xfId="237" xr:uid="{00000000-0005-0000-0000-0000EB000000}"/>
    <cellStyle name="Normal - Style5" xfId="238" xr:uid="{00000000-0005-0000-0000-0000EC000000}"/>
    <cellStyle name="Normal 10" xfId="239" xr:uid="{00000000-0005-0000-0000-0000ED000000}"/>
    <cellStyle name="Normal 11" xfId="331" xr:uid="{401671C4-C6A2-4732-BC1D-7DED4CDB8213}"/>
    <cellStyle name="Normal 12" xfId="332" xr:uid="{7AB04779-6DED-4ECE-A00A-6E565B6B23E9}"/>
    <cellStyle name="Normal 141" xfId="330" xr:uid="{4CEE5AEF-DC02-4BEC-A9D6-79FD34328DBC}"/>
    <cellStyle name="Normal 2" xfId="3" xr:uid="{00000000-0005-0000-0000-0000EE000000}"/>
    <cellStyle name="Normal 2 2" xfId="240" xr:uid="{00000000-0005-0000-0000-0000EF000000}"/>
    <cellStyle name="Normal 2 2 2" xfId="241" xr:uid="{00000000-0005-0000-0000-0000F0000000}"/>
    <cellStyle name="Normal 2 3" xfId="242" xr:uid="{00000000-0005-0000-0000-0000F1000000}"/>
    <cellStyle name="Normal 2 3 2" xfId="243" xr:uid="{00000000-0005-0000-0000-0000F2000000}"/>
    <cellStyle name="Normal 2 4" xfId="244" xr:uid="{00000000-0005-0000-0000-0000F3000000}"/>
    <cellStyle name="Normal 2 5" xfId="245" xr:uid="{00000000-0005-0000-0000-0000F4000000}"/>
    <cellStyle name="Normal 2 6" xfId="246" xr:uid="{00000000-0005-0000-0000-0000F5000000}"/>
    <cellStyle name="Normal 2 7" xfId="247" xr:uid="{00000000-0005-0000-0000-0000F6000000}"/>
    <cellStyle name="Normal 2 8" xfId="248" xr:uid="{00000000-0005-0000-0000-0000F7000000}"/>
    <cellStyle name="Normal 3" xfId="4" xr:uid="{00000000-0005-0000-0000-0000F8000000}"/>
    <cellStyle name="Normal 3 2" xfId="249" xr:uid="{00000000-0005-0000-0000-0000F9000000}"/>
    <cellStyle name="Normal 3 3" xfId="250" xr:uid="{00000000-0005-0000-0000-0000FA000000}"/>
    <cellStyle name="Normal 3 4" xfId="251" xr:uid="{00000000-0005-0000-0000-0000FB000000}"/>
    <cellStyle name="Normal 4" xfId="252" xr:uid="{00000000-0005-0000-0000-0000FC000000}"/>
    <cellStyle name="Normal 5" xfId="253" xr:uid="{00000000-0005-0000-0000-0000FD000000}"/>
    <cellStyle name="Normal 5 2" xfId="254" xr:uid="{00000000-0005-0000-0000-0000FE000000}"/>
    <cellStyle name="Normal 6" xfId="255" xr:uid="{00000000-0005-0000-0000-0000FF000000}"/>
    <cellStyle name="Normal 6 2" xfId="256" xr:uid="{00000000-0005-0000-0000-000000010000}"/>
    <cellStyle name="Normal 6 3" xfId="257" xr:uid="{00000000-0005-0000-0000-000001010000}"/>
    <cellStyle name="Normal 7" xfId="258" xr:uid="{00000000-0005-0000-0000-000002010000}"/>
    <cellStyle name="Normal 7 2" xfId="259" xr:uid="{00000000-0005-0000-0000-000003010000}"/>
    <cellStyle name="Normal 8" xfId="260" xr:uid="{00000000-0005-0000-0000-000004010000}"/>
    <cellStyle name="Normal 8 2" xfId="261" xr:uid="{00000000-0005-0000-0000-000005010000}"/>
    <cellStyle name="Normal 8 3" xfId="262" xr:uid="{00000000-0005-0000-0000-000006010000}"/>
    <cellStyle name="Normal 9" xfId="263" xr:uid="{00000000-0005-0000-0000-000007010000}"/>
    <cellStyle name="Number0DecimalStyle" xfId="264" xr:uid="{00000000-0005-0000-0000-000008010000}"/>
    <cellStyle name="Number0DecimalStyle 2" xfId="265" xr:uid="{00000000-0005-0000-0000-000009010000}"/>
    <cellStyle name="Number10DecimalStyle" xfId="266" xr:uid="{00000000-0005-0000-0000-00000A010000}"/>
    <cellStyle name="Number1DecimalStyle" xfId="267" xr:uid="{00000000-0005-0000-0000-00000B010000}"/>
    <cellStyle name="Number2DecimalStyle" xfId="268" xr:uid="{00000000-0005-0000-0000-00000C010000}"/>
    <cellStyle name="Number2DecimalStyle 2" xfId="269" xr:uid="{00000000-0005-0000-0000-00000D010000}"/>
    <cellStyle name="Number3DecimalStyle" xfId="270" xr:uid="{00000000-0005-0000-0000-00000E010000}"/>
    <cellStyle name="Number4DecimalStyle" xfId="271" xr:uid="{00000000-0005-0000-0000-00000F010000}"/>
    <cellStyle name="Number5DecimalStyle" xfId="272" xr:uid="{00000000-0005-0000-0000-000010010000}"/>
    <cellStyle name="Number6DecimalStyle" xfId="273" xr:uid="{00000000-0005-0000-0000-000011010000}"/>
    <cellStyle name="Number7DecimalStyle" xfId="274" xr:uid="{00000000-0005-0000-0000-000012010000}"/>
    <cellStyle name="Number8DecimalStyle" xfId="275" xr:uid="{00000000-0005-0000-0000-000013010000}"/>
    <cellStyle name="Number9DecimalStyle" xfId="276" xr:uid="{00000000-0005-0000-0000-000014010000}"/>
    <cellStyle name="over" xfId="277" xr:uid="{00000000-0005-0000-0000-000015010000}"/>
    <cellStyle name="Percent" xfId="2" builtinId="5"/>
    <cellStyle name="percent (0)" xfId="278" xr:uid="{00000000-0005-0000-0000-000017010000}"/>
    <cellStyle name="Percent [0]" xfId="279" xr:uid="{00000000-0005-0000-0000-000018010000}"/>
    <cellStyle name="Percent [0] 2" xfId="280" xr:uid="{00000000-0005-0000-0000-000019010000}"/>
    <cellStyle name="Percent [00]" xfId="281" xr:uid="{00000000-0005-0000-0000-00001A010000}"/>
    <cellStyle name="Percent [00] 2" xfId="282" xr:uid="{00000000-0005-0000-0000-00001B010000}"/>
    <cellStyle name="Percent [2]" xfId="283" xr:uid="{00000000-0005-0000-0000-00001C010000}"/>
    <cellStyle name="Percent 10" xfId="284" xr:uid="{00000000-0005-0000-0000-00001D010000}"/>
    <cellStyle name="Percent 2" xfId="285" xr:uid="{00000000-0005-0000-0000-00001E010000}"/>
    <cellStyle name="Percent 2 2" xfId="286" xr:uid="{00000000-0005-0000-0000-00001F010000}"/>
    <cellStyle name="Percent 2 3" xfId="287" xr:uid="{00000000-0005-0000-0000-000020010000}"/>
    <cellStyle name="Percent 2 4" xfId="288" xr:uid="{00000000-0005-0000-0000-000021010000}"/>
    <cellStyle name="Percent 3" xfId="289" xr:uid="{00000000-0005-0000-0000-000022010000}"/>
    <cellStyle name="Percent 3 2" xfId="290" xr:uid="{00000000-0005-0000-0000-000023010000}"/>
    <cellStyle name="Percent 4" xfId="291" xr:uid="{00000000-0005-0000-0000-000024010000}"/>
    <cellStyle name="Percent 6" xfId="292" xr:uid="{00000000-0005-0000-0000-000025010000}"/>
    <cellStyle name="PERCENTAGE" xfId="293" xr:uid="{00000000-0005-0000-0000-000026010000}"/>
    <cellStyle name="posit" xfId="294" xr:uid="{00000000-0005-0000-0000-000027010000}"/>
    <cellStyle name="Powerpoint Style" xfId="295" xr:uid="{00000000-0005-0000-0000-000028010000}"/>
    <cellStyle name="PrePop Currency (0)" xfId="296" xr:uid="{00000000-0005-0000-0000-000029010000}"/>
    <cellStyle name="PrePop Currency (0) 2" xfId="297" xr:uid="{00000000-0005-0000-0000-00002A010000}"/>
    <cellStyle name="PrePop Currency (2)" xfId="298" xr:uid="{00000000-0005-0000-0000-00002B010000}"/>
    <cellStyle name="PrePop Currency (2) 2" xfId="299" xr:uid="{00000000-0005-0000-0000-00002C010000}"/>
    <cellStyle name="PrePop Units (0)" xfId="300" xr:uid="{00000000-0005-0000-0000-00002D010000}"/>
    <cellStyle name="PrePop Units (0) 2" xfId="301" xr:uid="{00000000-0005-0000-0000-00002E010000}"/>
    <cellStyle name="PrePop Units (1)" xfId="302" xr:uid="{00000000-0005-0000-0000-00002F010000}"/>
    <cellStyle name="PrePop Units (1) 2" xfId="303" xr:uid="{00000000-0005-0000-0000-000030010000}"/>
    <cellStyle name="PrePop Units (2)" xfId="304" xr:uid="{00000000-0005-0000-0000-000031010000}"/>
    <cellStyle name="PrePop Units (2) 2" xfId="305" xr:uid="{00000000-0005-0000-0000-000032010000}"/>
    <cellStyle name="SingleTopDoubleBott" xfId="306" xr:uid="{00000000-0005-0000-0000-000033010000}"/>
    <cellStyle name="Standard_A" xfId="307" xr:uid="{00000000-0005-0000-0000-000034010000}"/>
    <cellStyle name="Style 1" xfId="308" xr:uid="{00000000-0005-0000-0000-000035010000}"/>
    <cellStyle name="Style 2" xfId="309" xr:uid="{00000000-0005-0000-0000-000036010000}"/>
    <cellStyle name="Style 3" xfId="310" xr:uid="{00000000-0005-0000-0000-000037010000}"/>
    <cellStyle name="Style 4" xfId="311" xr:uid="{00000000-0005-0000-0000-000038010000}"/>
    <cellStyle name="Text Indent A" xfId="312" xr:uid="{00000000-0005-0000-0000-000039010000}"/>
    <cellStyle name="Text Indent B" xfId="313" xr:uid="{00000000-0005-0000-0000-00003A010000}"/>
    <cellStyle name="Text Indent B 2" xfId="314" xr:uid="{00000000-0005-0000-0000-00003B010000}"/>
    <cellStyle name="Text Indent C" xfId="315" xr:uid="{00000000-0005-0000-0000-00003C010000}"/>
    <cellStyle name="Text Indent C 2" xfId="316" xr:uid="{00000000-0005-0000-0000-00003D010000}"/>
    <cellStyle name="TextStyle" xfId="317" xr:uid="{00000000-0005-0000-0000-00003E010000}"/>
    <cellStyle name="Tickmark" xfId="318" xr:uid="{00000000-0005-0000-0000-00003F010000}"/>
    <cellStyle name="TimStyle" xfId="319" xr:uid="{00000000-0005-0000-0000-000040010000}"/>
    <cellStyle name="Total 2" xfId="320" xr:uid="{00000000-0005-0000-0000-000041010000}"/>
    <cellStyle name="Total 3" xfId="321" xr:uid="{00000000-0005-0000-0000-000042010000}"/>
    <cellStyle name="Total 4" xfId="322" xr:uid="{00000000-0005-0000-0000-000043010000}"/>
    <cellStyle name="Underline" xfId="323" xr:uid="{00000000-0005-0000-0000-000044010000}"/>
    <cellStyle name="UnderlineDouble" xfId="324" xr:uid="{00000000-0005-0000-0000-000045010000}"/>
    <cellStyle name="Währung [0]_RESULTS" xfId="325" xr:uid="{00000000-0005-0000-0000-000046010000}"/>
    <cellStyle name="Währung_RESULTS" xfId="326" xr:uid="{00000000-0005-0000-0000-000047010000}"/>
    <cellStyle name="표준_BINV" xfId="327" xr:uid="{00000000-0005-0000-0000-000048010000}"/>
    <cellStyle name="標準_99B-05PE_IC2" xfId="328" xr:uid="{00000000-0005-0000-0000-000049010000}"/>
  </cellStyles>
  <dxfs count="0"/>
  <tableStyles count="0" defaultTableStyle="TableStyleMedium2" defaultPivotStyle="PivotStyleLight16"/>
  <colors>
    <mruColors>
      <color rgb="FFBFBFB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4.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6-month Price Earnings Trend</a:t>
            </a:r>
          </a:p>
        </c:rich>
      </c:tx>
      <c:overlay val="0"/>
    </c:title>
    <c:autoTitleDeleted val="0"/>
    <c:plotArea>
      <c:layout/>
      <c:lineChart>
        <c:grouping val="standard"/>
        <c:varyColors val="0"/>
        <c:ser>
          <c:idx val="1"/>
          <c:order val="0"/>
          <c:spPr>
            <a:ln>
              <a:solidFill>
                <a:schemeClr val="accent1"/>
              </a:solidFill>
            </a:ln>
          </c:spPr>
          <c:marker>
            <c:symbol val="none"/>
          </c:marker>
          <c:val>
            <c:numRef>
              <c:f>MU!#REF!</c:f>
              <c:numCache>
                <c:formatCode>General</c:formatCode>
                <c:ptCount val="1"/>
                <c:pt idx="0">
                  <c:v>1</c:v>
                </c:pt>
              </c:numCache>
            </c:numRef>
          </c:val>
          <c:smooth val="0"/>
          <c:extLst>
            <c:ext xmlns:c15="http://schemas.microsoft.com/office/drawing/2012/chart" uri="{02D57815-91ED-43cb-92C2-25804820EDAC}">
              <c15:filteredSeriesTitle>
                <c15:tx>
                  <c:strRef>
                    <c:extLst>
                      <c:ext uri="{02D57815-91ED-43cb-92C2-25804820EDAC}">
                        <c15:formulaRef>
                          <c15:sqref>MU!#REF!</c15:sqref>
                        </c15:formulaRef>
                      </c:ext>
                    </c:extLst>
                    <c:strCache>
                      <c:ptCount val="1"/>
                      <c:pt idx="0">
                        <c:v>#REF!</c:v>
                      </c:pt>
                    </c:strCache>
                  </c:strRef>
                </c15:tx>
              </c15:filteredSeriesTitle>
            </c:ext>
            <c:ext xmlns:c15="http://schemas.microsoft.com/office/drawing/2012/chart" uri="{02D57815-91ED-43cb-92C2-25804820EDAC}">
              <c15:filteredCategoryTitle>
                <c15:cat>
                  <c:multiLvlStrRef>
                    <c:extLst>
                      <c:ext uri="{02D57815-91ED-43cb-92C2-25804820EDAC}">
                        <c15:formulaRef>
                          <c15:sqref>MU!#REF!</c15:sqref>
                        </c15:formulaRef>
                      </c:ext>
                    </c:extLst>
                  </c:multiLvlStrRef>
                </c15:cat>
              </c15:filteredCategoryTitle>
            </c:ext>
            <c:ext xmlns:c16="http://schemas.microsoft.com/office/drawing/2014/chart" uri="{C3380CC4-5D6E-409C-BE32-E72D297353CC}">
              <c16:uniqueId val="{00000000-CA6E-4F65-ABFE-CF3C792E3A02}"/>
            </c:ext>
          </c:extLst>
        </c:ser>
        <c:dLbls>
          <c:showLegendKey val="0"/>
          <c:showVal val="0"/>
          <c:showCatName val="0"/>
          <c:showSerName val="0"/>
          <c:showPercent val="0"/>
          <c:showBubbleSize val="0"/>
        </c:dLbls>
        <c:smooth val="0"/>
        <c:axId val="142994432"/>
        <c:axId val="142996224"/>
      </c:lineChart>
      <c:catAx>
        <c:axId val="142994432"/>
        <c:scaling>
          <c:orientation val="minMax"/>
          <c:min val="41746"/>
        </c:scaling>
        <c:delete val="0"/>
        <c:axPos val="b"/>
        <c:numFmt formatCode="m/d/yyyy" sourceLinked="1"/>
        <c:majorTickMark val="out"/>
        <c:minorTickMark val="none"/>
        <c:tickLblPos val="nextTo"/>
        <c:txPr>
          <a:bodyPr rot="-5400000" vert="horz"/>
          <a:lstStyle/>
          <a:p>
            <a:pPr>
              <a:defRPr/>
            </a:pPr>
            <a:endParaRPr lang="en-US"/>
          </a:p>
        </c:txPr>
        <c:crossAx val="142996224"/>
        <c:crosses val="autoZero"/>
        <c:auto val="1"/>
        <c:lblAlgn val="ctr"/>
        <c:lblOffset val="100"/>
        <c:tickLblSkip val="7"/>
        <c:noMultiLvlLbl val="1"/>
      </c:catAx>
      <c:valAx>
        <c:axId val="142996224"/>
        <c:scaling>
          <c:orientation val="minMax"/>
        </c:scaling>
        <c:delete val="0"/>
        <c:axPos val="l"/>
        <c:majorGridlines/>
        <c:numFmt formatCode="0.0\x" sourceLinked="0"/>
        <c:majorTickMark val="out"/>
        <c:minorTickMark val="none"/>
        <c:tickLblPos val="nextTo"/>
        <c:crossAx val="142994432"/>
        <c:crosses val="autoZero"/>
        <c:crossBetween val="between"/>
      </c:valAx>
    </c:plotArea>
    <c:legend>
      <c:legendPos val="b"/>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nchor="t" anchorCtr="0"/>
          <a:lstStyle/>
          <a:p>
            <a:pPr algn="ctr">
              <a:defRPr/>
            </a:pPr>
            <a:r>
              <a:rPr lang="en-US" sz="1200" b="0"/>
              <a:t>Monthly Active Users &amp; Avg Revenue Per User</a:t>
            </a:r>
          </a:p>
        </c:rich>
      </c:tx>
      <c:layout>
        <c:manualLayout>
          <c:xMode val="edge"/>
          <c:yMode val="edge"/>
          <c:x val="0.13640461686910277"/>
          <c:y val="6.0114217012323416E-3"/>
        </c:manualLayout>
      </c:layout>
      <c:overlay val="1"/>
    </c:title>
    <c:autoTitleDeleted val="0"/>
    <c:plotArea>
      <c:layout>
        <c:manualLayout>
          <c:layoutTarget val="inner"/>
          <c:xMode val="edge"/>
          <c:yMode val="edge"/>
          <c:x val="7.5259906105276539E-2"/>
          <c:y val="9.884433967845993E-2"/>
          <c:w val="0.78454722918835507"/>
          <c:h val="0.62550120820109401"/>
        </c:manualLayout>
      </c:layout>
      <c:barChart>
        <c:barDir val="col"/>
        <c:grouping val="clustered"/>
        <c:varyColors val="0"/>
        <c:ser>
          <c:idx val="0"/>
          <c:order val="0"/>
          <c:tx>
            <c:strRef>
              <c:f>'Earnings Model'!$B$50</c:f>
              <c:strCache>
                <c:ptCount val="1"/>
                <c:pt idx="0">
                  <c:v>Total Monthly Active Users (MAU) </c:v>
                </c:pt>
              </c:strCache>
            </c:strRef>
          </c:tx>
          <c:spPr>
            <a:solidFill>
              <a:schemeClr val="tx1">
                <a:lumMod val="65000"/>
                <a:lumOff val="35000"/>
              </a:schemeClr>
            </a:solidFill>
          </c:spPr>
          <c:invertIfNegative val="0"/>
          <c:dPt>
            <c:idx val="4"/>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9-5C55-4DB1-A25C-6A7A09C8C754}"/>
              </c:ext>
            </c:extLst>
          </c:dPt>
          <c:dPt>
            <c:idx val="5"/>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A-5C55-4DB1-A25C-6A7A09C8C754}"/>
              </c:ext>
            </c:extLst>
          </c:dPt>
          <c:dPt>
            <c:idx val="6"/>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E-2462-4DF9-A2F7-046938A175E7}"/>
              </c:ext>
            </c:extLst>
          </c:dPt>
          <c:dPt>
            <c:idx val="7"/>
            <c:invertIfNegative val="0"/>
            <c:bubble3D val="0"/>
            <c:spPr>
              <a:solidFill>
                <a:schemeClr val="bg1">
                  <a:lumMod val="75000"/>
                </a:schemeClr>
              </a:solidFill>
              <a:ln>
                <a:solidFill>
                  <a:schemeClr val="tx1">
                    <a:lumMod val="75000"/>
                    <a:lumOff val="25000"/>
                  </a:schemeClr>
                </a:solidFill>
              </a:ln>
            </c:spPr>
            <c:extLst>
              <c:ext xmlns:c16="http://schemas.microsoft.com/office/drawing/2014/chart" uri="{C3380CC4-5D6E-409C-BE32-E72D297353CC}">
                <c16:uniqueId val="{0000000F-2462-4DF9-A2F7-046938A175E7}"/>
              </c:ext>
            </c:extLst>
          </c:dPt>
          <c:dPt>
            <c:idx val="9"/>
            <c:invertIfNegative val="0"/>
            <c:bubble3D val="0"/>
            <c:extLst>
              <c:ext xmlns:c16="http://schemas.microsoft.com/office/drawing/2014/chart" uri="{C3380CC4-5D6E-409C-BE32-E72D297353CC}">
                <c16:uniqueId val="{00000000-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Model'!$T$50,'Earnings Model'!$U$50,'Earnings Model'!$V$50,'Earnings Model'!$X$50,'Earnings Model'!$Y$50,'Earnings Model'!$Z$50,'Earnings Model'!$AA$50,'Earnings Model'!$AC$50)</c:f>
              <c:numCache>
                <c:formatCode>_(* #,##0_);_(* \(#,##0\);_(* "-"??_);_(@_)</c:formatCode>
                <c:ptCount val="8"/>
                <c:pt idx="0">
                  <c:v>2414</c:v>
                </c:pt>
                <c:pt idx="1">
                  <c:v>2449</c:v>
                </c:pt>
                <c:pt idx="2">
                  <c:v>2497.8000000000002</c:v>
                </c:pt>
                <c:pt idx="3">
                  <c:v>2603</c:v>
                </c:pt>
                <c:pt idx="4">
                  <c:v>2622.5791455195044</c:v>
                </c:pt>
                <c:pt idx="5">
                  <c:v>2632.2946347742368</c:v>
                </c:pt>
                <c:pt idx="6">
                  <c:v>2667.630741246292</c:v>
                </c:pt>
                <c:pt idx="7">
                  <c:v>2800.8517144651696</c:v>
                </c:pt>
              </c:numCache>
            </c:numRef>
          </c:val>
          <c:extLst>
            <c:ext xmlns:c16="http://schemas.microsoft.com/office/drawing/2014/chart" uri="{C3380CC4-5D6E-409C-BE32-E72D297353CC}">
              <c16:uniqueId val="{00000001-2462-4DF9-A2F7-046938A175E7}"/>
            </c:ext>
          </c:extLst>
        </c:ser>
        <c:dLbls>
          <c:showLegendKey val="0"/>
          <c:showVal val="0"/>
          <c:showCatName val="0"/>
          <c:showSerName val="0"/>
          <c:showPercent val="0"/>
          <c:showBubbleSize val="0"/>
        </c:dLbls>
        <c:gapWidth val="150"/>
        <c:axId val="145722368"/>
        <c:axId val="145728256"/>
      </c:barChart>
      <c:lineChart>
        <c:grouping val="standard"/>
        <c:varyColors val="0"/>
        <c:ser>
          <c:idx val="1"/>
          <c:order val="1"/>
          <c:tx>
            <c:strRef>
              <c:f>'Earnings Model'!$B$60</c:f>
              <c:strCache>
                <c:ptCount val="1"/>
                <c:pt idx="0">
                  <c:v>Total Average Revenue Per User (ARPU) </c:v>
                </c:pt>
              </c:strCache>
            </c:strRef>
          </c:tx>
          <c:spPr>
            <a:ln>
              <a:solidFill>
                <a:schemeClr val="accent1">
                  <a:lumMod val="60000"/>
                  <a:lumOff val="40000"/>
                </a:schemeClr>
              </a:solidFill>
            </a:ln>
          </c:spPr>
          <c:marker>
            <c:symbol val="none"/>
          </c:marker>
          <c:dPt>
            <c:idx val="4"/>
            <c:bubble3D val="0"/>
            <c:spPr>
              <a:ln>
                <a:solidFill>
                  <a:schemeClr val="accent1">
                    <a:lumMod val="60000"/>
                    <a:lumOff val="40000"/>
                  </a:schemeClr>
                </a:solidFill>
                <a:prstDash val="sysDash"/>
              </a:ln>
            </c:spPr>
            <c:extLst>
              <c:ext xmlns:c16="http://schemas.microsoft.com/office/drawing/2014/chart" uri="{C3380CC4-5D6E-409C-BE32-E72D297353CC}">
                <c16:uniqueId val="{0000000B-5C55-4DB1-A25C-6A7A09C8C754}"/>
              </c:ext>
            </c:extLst>
          </c:dPt>
          <c:dPt>
            <c:idx val="5"/>
            <c:bubble3D val="0"/>
            <c:spPr>
              <a:ln>
                <a:solidFill>
                  <a:schemeClr val="accent1">
                    <a:lumMod val="60000"/>
                    <a:lumOff val="40000"/>
                  </a:schemeClr>
                </a:solidFill>
                <a:prstDash val="sysDash"/>
              </a:ln>
            </c:spPr>
            <c:extLst>
              <c:ext xmlns:c16="http://schemas.microsoft.com/office/drawing/2014/chart" uri="{C3380CC4-5D6E-409C-BE32-E72D297353CC}">
                <c16:uniqueId val="{0000000C-5C55-4DB1-A25C-6A7A09C8C754}"/>
              </c:ext>
            </c:extLst>
          </c:dPt>
          <c:dPt>
            <c:idx val="6"/>
            <c:bubble3D val="0"/>
            <c:spPr>
              <a:ln>
                <a:solidFill>
                  <a:schemeClr val="accent1">
                    <a:lumMod val="60000"/>
                    <a:lumOff val="40000"/>
                  </a:schemeClr>
                </a:solidFill>
                <a:prstDash val="sysDash"/>
              </a:ln>
            </c:spPr>
            <c:extLst>
              <c:ext xmlns:c16="http://schemas.microsoft.com/office/drawing/2014/chart" uri="{C3380CC4-5D6E-409C-BE32-E72D297353CC}">
                <c16:uniqueId val="{00000010-2462-4DF9-A2F7-046938A175E7}"/>
              </c:ext>
            </c:extLst>
          </c:dPt>
          <c:dPt>
            <c:idx val="7"/>
            <c:bubble3D val="0"/>
            <c:spPr>
              <a:ln>
                <a:solidFill>
                  <a:schemeClr val="accent1">
                    <a:lumMod val="60000"/>
                    <a:lumOff val="40000"/>
                  </a:schemeClr>
                </a:solidFill>
                <a:prstDash val="sysDash"/>
              </a:ln>
            </c:spPr>
            <c:extLst>
              <c:ext xmlns:c16="http://schemas.microsoft.com/office/drawing/2014/chart" uri="{C3380CC4-5D6E-409C-BE32-E72D297353CC}">
                <c16:uniqueId val="{00000011-2462-4DF9-A2F7-046938A175E7}"/>
              </c:ext>
            </c:extLst>
          </c:dPt>
          <c:cat>
            <c:strRef>
              <c:f>('Earnings Model'!$T$34,'Earnings Model'!$U$34,'Earnings Model'!$V$34,'Earnings Model'!$X$34,'Earnings Model'!$Y$34,'Earnings Model'!$Z$34,'Earnings Model'!$AA$34,'Earnings Model'!$AC$34)</c:f>
              <c:strCache>
                <c:ptCount val="8"/>
                <c:pt idx="0">
                  <c:v> 2Q19 </c:v>
                </c:pt>
                <c:pt idx="1">
                  <c:v> 3Q19 </c:v>
                </c:pt>
                <c:pt idx="2">
                  <c:v> 4Q19 </c:v>
                </c:pt>
                <c:pt idx="3">
                  <c:v> 1Q20 </c:v>
                </c:pt>
                <c:pt idx="4">
                  <c:v> 2Q20E </c:v>
                </c:pt>
                <c:pt idx="5">
                  <c:v> 3Q20E </c:v>
                </c:pt>
                <c:pt idx="6">
                  <c:v> 4Q20E </c:v>
                </c:pt>
                <c:pt idx="7">
                  <c:v> 1Q21E </c:v>
                </c:pt>
              </c:strCache>
            </c:strRef>
          </c:cat>
          <c:val>
            <c:numRef>
              <c:f>('Earnings Model'!$T$60,'Earnings Model'!$U$60,'Earnings Model'!$V$60,'Earnings Model'!$X$60,'Earnings Model'!$Y$60,'Earnings Model'!$Z$60,'Earnings Model'!$AA$60,'Earnings Model'!$AC$60)</c:f>
              <c:numCache>
                <c:formatCode>_(* #,##0.00_);_(* \(#,##0.00\);_(* "-"??_);_(@_)</c:formatCode>
                <c:ptCount val="8"/>
                <c:pt idx="0">
                  <c:v>7.0505219206680581</c:v>
                </c:pt>
                <c:pt idx="1">
                  <c:v>7.2597162245527453</c:v>
                </c:pt>
                <c:pt idx="2">
                  <c:v>8.5234899328859051</c:v>
                </c:pt>
                <c:pt idx="3">
                  <c:v>6.954595357590966</c:v>
                </c:pt>
                <c:pt idx="4">
                  <c:v>6.7105599650004448</c:v>
                </c:pt>
                <c:pt idx="5">
                  <c:v>7.3592221919117859</c:v>
                </c:pt>
                <c:pt idx="6">
                  <c:v>8.9408617526154845</c:v>
                </c:pt>
                <c:pt idx="7">
                  <c:v>7.7662647213862854</c:v>
                </c:pt>
              </c:numCache>
            </c:numRef>
          </c:val>
          <c:smooth val="0"/>
          <c:extLst>
            <c:ext xmlns:c16="http://schemas.microsoft.com/office/drawing/2014/chart" uri="{C3380CC4-5D6E-409C-BE32-E72D297353CC}">
              <c16:uniqueId val="{00000002-2462-4DF9-A2F7-046938A175E7}"/>
            </c:ext>
          </c:extLst>
        </c:ser>
        <c:dLbls>
          <c:showLegendKey val="0"/>
          <c:showVal val="0"/>
          <c:showCatName val="0"/>
          <c:showSerName val="0"/>
          <c:showPercent val="0"/>
          <c:showBubbleSize val="0"/>
        </c:dLbls>
        <c:marker val="1"/>
        <c:smooth val="0"/>
        <c:axId val="145731584"/>
        <c:axId val="145729792"/>
      </c:lineChart>
      <c:catAx>
        <c:axId val="145722368"/>
        <c:scaling>
          <c:orientation val="minMax"/>
        </c:scaling>
        <c:delete val="0"/>
        <c:axPos val="b"/>
        <c:numFmt formatCode="[$-409]mmmm\-yy;@" sourceLinked="0"/>
        <c:majorTickMark val="none"/>
        <c:minorTickMark val="none"/>
        <c:tickLblPos val="low"/>
        <c:txPr>
          <a:bodyPr rot="0"/>
          <a:lstStyle/>
          <a:p>
            <a:pPr>
              <a:defRPr sz="800" baseline="0"/>
            </a:pPr>
            <a:endParaRPr lang="en-US"/>
          </a:p>
        </c:txPr>
        <c:crossAx val="145728256"/>
        <c:crosses val="autoZero"/>
        <c:auto val="1"/>
        <c:lblAlgn val="ctr"/>
        <c:lblOffset val="100"/>
        <c:noMultiLvlLbl val="0"/>
      </c:catAx>
      <c:valAx>
        <c:axId val="145728256"/>
        <c:scaling>
          <c:orientation val="minMax"/>
        </c:scaling>
        <c:delete val="0"/>
        <c:axPos val="l"/>
        <c:majorGridlines>
          <c:spPr>
            <a:ln>
              <a:prstDash val="dash"/>
            </a:ln>
          </c:spPr>
        </c:majorGridlines>
        <c:numFmt formatCode="#,##0" sourceLinked="0"/>
        <c:majorTickMark val="out"/>
        <c:minorTickMark val="none"/>
        <c:tickLblPos val="nextTo"/>
        <c:spPr>
          <a:ln>
            <a:noFill/>
          </a:ln>
        </c:spPr>
        <c:crossAx val="145722368"/>
        <c:crosses val="autoZero"/>
        <c:crossBetween val="between"/>
      </c:valAx>
      <c:valAx>
        <c:axId val="145729792"/>
        <c:scaling>
          <c:orientation val="minMax"/>
        </c:scaling>
        <c:delete val="0"/>
        <c:axPos val="r"/>
        <c:numFmt formatCode="&quot;$&quot;#,##0.0" sourceLinked="0"/>
        <c:majorTickMark val="out"/>
        <c:minorTickMark val="none"/>
        <c:tickLblPos val="nextTo"/>
        <c:crossAx val="145731584"/>
        <c:crosses val="max"/>
        <c:crossBetween val="between"/>
      </c:valAx>
      <c:catAx>
        <c:axId val="145731584"/>
        <c:scaling>
          <c:orientation val="minMax"/>
        </c:scaling>
        <c:delete val="1"/>
        <c:axPos val="b"/>
        <c:numFmt formatCode="General" sourceLinked="1"/>
        <c:majorTickMark val="out"/>
        <c:minorTickMark val="none"/>
        <c:tickLblPos val="nextTo"/>
        <c:crossAx val="145729792"/>
        <c:crosses val="autoZero"/>
        <c:auto val="1"/>
        <c:lblAlgn val="ctr"/>
        <c:lblOffset val="100"/>
        <c:noMultiLvlLbl val="0"/>
      </c:catAx>
      <c:spPr>
        <a:solidFill>
          <a:schemeClr val="bg1">
            <a:lumMod val="95000"/>
          </a:schemeClr>
        </a:solidFill>
      </c:spPr>
    </c:plotArea>
    <c:legend>
      <c:legendPos val="b"/>
      <c:layout>
        <c:manualLayout>
          <c:xMode val="edge"/>
          <c:yMode val="edge"/>
          <c:x val="1.0407843079484102E-3"/>
          <c:y val="0.82587988043424243"/>
          <c:w val="0.99567776198227798"/>
          <c:h val="0.15834984107599712"/>
        </c:manualLayout>
      </c:layout>
      <c:overlay val="0"/>
    </c:legend>
    <c:plotVisOnly val="1"/>
    <c:dispBlanksAs val="gap"/>
    <c:showDLblsOverMax val="0"/>
  </c:chart>
  <c:spPr>
    <a:solidFill>
      <a:schemeClr val="bg1">
        <a:lumMod val="95000"/>
      </a:schemeClr>
    </a:solid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a:t>
            </a:r>
            <a:r>
              <a:rPr lang="en-US" baseline="0"/>
              <a:t> by Year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1-6B60-49C6-99F3-F5B9DB4074E1}"/>
              </c:ext>
            </c:extLst>
          </c:dPt>
          <c:dPt>
            <c:idx val="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2-6B60-49C6-99F3-F5B9DB4074E1}"/>
              </c:ext>
            </c:extLst>
          </c:dPt>
          <c:cat>
            <c:multiLvlStrRef>
              <c:f>'Revenue Progression'!$A$7:$F$8</c:f>
              <c:multiLvlStrCache>
                <c:ptCount val="6"/>
                <c:lvl>
                  <c:pt idx="0">
                    <c:v>2016</c:v>
                  </c:pt>
                  <c:pt idx="1">
                    <c:v>2017</c:v>
                  </c:pt>
                  <c:pt idx="2">
                    <c:v>2018</c:v>
                  </c:pt>
                  <c:pt idx="3">
                    <c:v>2019</c:v>
                  </c:pt>
                  <c:pt idx="4">
                    <c:v>2020E</c:v>
                  </c:pt>
                  <c:pt idx="5">
                    <c:v>2021E</c:v>
                  </c:pt>
                </c:lvl>
                <c:lvl>
                  <c:pt idx="0">
                    <c:v>Dec-16</c:v>
                  </c:pt>
                  <c:pt idx="1">
                    <c:v>Dec-17</c:v>
                  </c:pt>
                  <c:pt idx="2">
                    <c:v>Dec-18</c:v>
                  </c:pt>
                  <c:pt idx="3">
                    <c:v>Dec-19</c:v>
                  </c:pt>
                  <c:pt idx="4">
                    <c:v>Dec-20</c:v>
                  </c:pt>
                  <c:pt idx="5">
                    <c:v>Dec-21</c:v>
                  </c:pt>
                </c:lvl>
              </c:multiLvlStrCache>
            </c:multiLvlStrRef>
          </c:cat>
          <c:val>
            <c:numRef>
              <c:f>'Revenue Progression'!$A$9:$F$9</c:f>
              <c:numCache>
                <c:formatCode>_("$"* #,##0_);_("$"* \(#,##0\);_("$"* "-"??_);_(@_)</c:formatCode>
                <c:ptCount val="6"/>
                <c:pt idx="0">
                  <c:v>27638</c:v>
                </c:pt>
                <c:pt idx="1">
                  <c:v>40653</c:v>
                </c:pt>
                <c:pt idx="2">
                  <c:v>55838</c:v>
                </c:pt>
                <c:pt idx="3">
                  <c:v>70697</c:v>
                </c:pt>
                <c:pt idx="4">
                  <c:v>78299.123016837839</c:v>
                </c:pt>
                <c:pt idx="5">
                  <c:v>98426.394824087183</c:v>
                </c:pt>
              </c:numCache>
            </c:numRef>
          </c:val>
          <c:extLst>
            <c:ext xmlns:c16="http://schemas.microsoft.com/office/drawing/2014/chart" uri="{C3380CC4-5D6E-409C-BE32-E72D297353CC}">
              <c16:uniqueId val="{00000000-6B60-49C6-99F3-F5B9DB4074E1}"/>
            </c:ext>
          </c:extLst>
        </c:ser>
        <c:dLbls>
          <c:showLegendKey val="0"/>
          <c:showVal val="0"/>
          <c:showCatName val="0"/>
          <c:showSerName val="0"/>
          <c:showPercent val="0"/>
          <c:showBubbleSize val="0"/>
        </c:dLbls>
        <c:gapWidth val="219"/>
        <c:overlap val="-27"/>
        <c:axId val="607664464"/>
        <c:axId val="607664792"/>
      </c:barChart>
      <c:catAx>
        <c:axId val="6076644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664792"/>
        <c:crosses val="autoZero"/>
        <c:auto val="1"/>
        <c:lblAlgn val="ctr"/>
        <c:lblOffset val="100"/>
        <c:noMultiLvlLbl val="0"/>
      </c:catAx>
      <c:valAx>
        <c:axId val="607664792"/>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7664464"/>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en-US"/>
              <a:t>Revenue</a:t>
            </a:r>
            <a:r>
              <a:rPr lang="en-US" baseline="0"/>
              <a:t> by Quarter</a:t>
            </a:r>
            <a:endParaRPr lang="en-US"/>
          </a:p>
        </c:rich>
      </c:tx>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1"/>
            </a:solidFill>
            <a:ln>
              <a:noFill/>
            </a:ln>
            <a:effectLst/>
          </c:spPr>
          <c:invertIfNegative val="0"/>
          <c:dPt>
            <c:idx val="13"/>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5-B1AA-4698-AD25-94981CF88A89}"/>
              </c:ext>
            </c:extLst>
          </c:dPt>
          <c:dPt>
            <c:idx val="14"/>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6-B1AA-4698-AD25-94981CF88A89}"/>
              </c:ext>
            </c:extLst>
          </c:dPt>
          <c:dPt>
            <c:idx val="15"/>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7-B1AA-4698-AD25-94981CF88A89}"/>
              </c:ext>
            </c:extLst>
          </c:dPt>
          <c:dPt>
            <c:idx val="16"/>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1-B1AA-4698-AD25-94981CF88A89}"/>
              </c:ext>
            </c:extLst>
          </c:dPt>
          <c:dPt>
            <c:idx val="17"/>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2-B1AA-4698-AD25-94981CF88A89}"/>
              </c:ext>
            </c:extLst>
          </c:dPt>
          <c:dPt>
            <c:idx val="18"/>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3-B1AA-4698-AD25-94981CF88A89}"/>
              </c:ext>
            </c:extLst>
          </c:dPt>
          <c:dPt>
            <c:idx val="19"/>
            <c:invertIfNegative val="0"/>
            <c:bubble3D val="0"/>
            <c:spPr>
              <a:solidFill>
                <a:schemeClr val="accent5">
                  <a:lumMod val="40000"/>
                  <a:lumOff val="60000"/>
                </a:schemeClr>
              </a:solidFill>
              <a:ln>
                <a:noFill/>
              </a:ln>
              <a:effectLst/>
            </c:spPr>
            <c:extLst>
              <c:ext xmlns:c16="http://schemas.microsoft.com/office/drawing/2014/chart" uri="{C3380CC4-5D6E-409C-BE32-E72D297353CC}">
                <c16:uniqueId val="{00000004-B1AA-4698-AD25-94981CF88A89}"/>
              </c:ext>
            </c:extLst>
          </c:dPt>
          <c:cat>
            <c:strRef>
              <c:extLst>
                <c:ext xmlns:c15="http://schemas.microsoft.com/office/drawing/2012/chart" uri="{02D57815-91ED-43cb-92C2-25804820EDAC}">
                  <c15:fullRef>
                    <c15:sqref>'Revenue Progression'!$D$1:$V$2</c15:sqref>
                  </c15:fullRef>
                  <c15:levelRef>
                    <c15:sqref>'Revenue Progression'!$D$1:$V$1</c15:sqref>
                  </c15:levelRef>
                </c:ext>
              </c:extLst>
              <c:f>'Revenue Progression'!$D$1:$V$1</c:f>
              <c:strCache>
                <c:ptCount val="19"/>
                <c:pt idx="0">
                  <c:v>March-17</c:v>
                </c:pt>
                <c:pt idx="1">
                  <c:v>June-17</c:v>
                </c:pt>
                <c:pt idx="2">
                  <c:v>Sept-17</c:v>
                </c:pt>
                <c:pt idx="3">
                  <c:v>Dec-17</c:v>
                </c:pt>
                <c:pt idx="4">
                  <c:v>March-18</c:v>
                </c:pt>
                <c:pt idx="5">
                  <c:v>June-18</c:v>
                </c:pt>
                <c:pt idx="6">
                  <c:v>Sept-18</c:v>
                </c:pt>
                <c:pt idx="7">
                  <c:v>Dec-18</c:v>
                </c:pt>
                <c:pt idx="8">
                  <c:v>March-19</c:v>
                </c:pt>
                <c:pt idx="9">
                  <c:v>June-19</c:v>
                </c:pt>
                <c:pt idx="10">
                  <c:v>Sept-19</c:v>
                </c:pt>
                <c:pt idx="11">
                  <c:v>Dec-19</c:v>
                </c:pt>
                <c:pt idx="12">
                  <c:v>March-20</c:v>
                </c:pt>
                <c:pt idx="13">
                  <c:v>June-20</c:v>
                </c:pt>
                <c:pt idx="14">
                  <c:v>Sept-20</c:v>
                </c:pt>
                <c:pt idx="15">
                  <c:v>Dec-20</c:v>
                </c:pt>
                <c:pt idx="16">
                  <c:v>March-21</c:v>
                </c:pt>
                <c:pt idx="17">
                  <c:v>June-21</c:v>
                </c:pt>
                <c:pt idx="18">
                  <c:v>Sept-21</c:v>
                </c:pt>
              </c:strCache>
            </c:strRef>
          </c:cat>
          <c:val>
            <c:numRef>
              <c:f>'Revenue Progression'!$D$3:$V$3</c:f>
              <c:numCache>
                <c:formatCode>_("$"* #,##0_);_("$"* \(#,##0\);_("$"* "-"??_);_(@_)</c:formatCode>
                <c:ptCount val="19"/>
                <c:pt idx="0">
                  <c:v>8032</c:v>
                </c:pt>
                <c:pt idx="1">
                  <c:v>9321</c:v>
                </c:pt>
                <c:pt idx="2">
                  <c:v>10328</c:v>
                </c:pt>
                <c:pt idx="3">
                  <c:v>12972</c:v>
                </c:pt>
                <c:pt idx="4">
                  <c:v>11966</c:v>
                </c:pt>
                <c:pt idx="5">
                  <c:v>13231</c:v>
                </c:pt>
                <c:pt idx="6">
                  <c:v>13727</c:v>
                </c:pt>
                <c:pt idx="7">
                  <c:v>16914</c:v>
                </c:pt>
                <c:pt idx="8">
                  <c:v>15077</c:v>
                </c:pt>
                <c:pt idx="9">
                  <c:v>16886</c:v>
                </c:pt>
                <c:pt idx="10">
                  <c:v>17652</c:v>
                </c:pt>
                <c:pt idx="11">
                  <c:v>21082</c:v>
                </c:pt>
                <c:pt idx="12">
                  <c:v>17737</c:v>
                </c:pt>
                <c:pt idx="13">
                  <c:v>17533.281103932211</c:v>
                </c:pt>
                <c:pt idx="14">
                  <c:v>19335.89186981654</c:v>
                </c:pt>
                <c:pt idx="15">
                  <c:v>23692.950043089091</c:v>
                </c:pt>
                <c:pt idx="16">
                  <c:v>21234.841187655882</c:v>
                </c:pt>
                <c:pt idx="17">
                  <c:v>21447.043652037806</c:v>
                </c:pt>
                <c:pt idx="18">
                  <c:v>24619.659620671253</c:v>
                </c:pt>
              </c:numCache>
            </c:numRef>
          </c:val>
          <c:extLst>
            <c:ext xmlns:c16="http://schemas.microsoft.com/office/drawing/2014/chart" uri="{C3380CC4-5D6E-409C-BE32-E72D297353CC}">
              <c16:uniqueId val="{00000000-B1AA-4698-AD25-94981CF88A89}"/>
            </c:ext>
          </c:extLst>
        </c:ser>
        <c:dLbls>
          <c:showLegendKey val="0"/>
          <c:showVal val="0"/>
          <c:showCatName val="0"/>
          <c:showSerName val="0"/>
          <c:showPercent val="0"/>
          <c:showBubbleSize val="0"/>
        </c:dLbls>
        <c:gapWidth val="219"/>
        <c:overlap val="-27"/>
        <c:axId val="448293424"/>
        <c:axId val="448286208"/>
      </c:barChart>
      <c:catAx>
        <c:axId val="44829342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286208"/>
        <c:crosses val="autoZero"/>
        <c:auto val="1"/>
        <c:lblAlgn val="ctr"/>
        <c:lblOffset val="100"/>
        <c:noMultiLvlLbl val="0"/>
      </c:catAx>
      <c:valAx>
        <c:axId val="448286208"/>
        <c:scaling>
          <c:orientation val="minMax"/>
        </c:scaling>
        <c:delete val="0"/>
        <c:axPos val="l"/>
        <c:majorGridlines>
          <c:spPr>
            <a:ln w="9525" cap="flat" cmpd="sng" algn="ctr">
              <a:solidFill>
                <a:schemeClr val="tx1">
                  <a:lumMod val="15000"/>
                  <a:lumOff val="85000"/>
                </a:schemeClr>
              </a:solidFill>
              <a:round/>
            </a:ln>
            <a:effectLst/>
          </c:spPr>
        </c:majorGridlines>
        <c:numFmt formatCode="_(&quot;$&quot;* #,##0_);_(&quot;$&quot;* \(#,##0\);_(&quot;$&quot;* &quot;-&quot;??_);_(@_)"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448293424"/>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g"/></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1</xdr:col>
      <xdr:colOff>236802</xdr:colOff>
      <xdr:row>33</xdr:row>
      <xdr:rowOff>0</xdr:rowOff>
    </xdr:from>
    <xdr:to>
      <xdr:col>6</xdr:col>
      <xdr:colOff>718343</xdr:colOff>
      <xdr:row>33</xdr:row>
      <xdr:rowOff>0</xdr:rowOff>
    </xdr:to>
    <xdr:graphicFrame macro="">
      <xdr:nvGraphicFramePr>
        <xdr:cNvPr id="5" name="Chart 4">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xdr:from>
      <xdr:col>1</xdr:col>
      <xdr:colOff>59055</xdr:colOff>
      <xdr:row>3</xdr:row>
      <xdr:rowOff>127635</xdr:rowOff>
    </xdr:from>
    <xdr:to>
      <xdr:col>5</xdr:col>
      <xdr:colOff>160020</xdr:colOff>
      <xdr:row>12</xdr:row>
      <xdr:rowOff>30480</xdr:rowOff>
    </xdr:to>
    <xdr:graphicFrame macro="">
      <xdr:nvGraphicFramePr>
        <xdr:cNvPr id="2" name="Chart 1">
          <a:extLst>
            <a:ext uri="{FF2B5EF4-FFF2-40B4-BE49-F238E27FC236}">
              <a16:creationId xmlns:a16="http://schemas.microsoft.com/office/drawing/2014/main" id="{822A172C-7B75-4C02-A74C-56608478D7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c:userShapes xmlns:c="http://schemas.openxmlformats.org/drawingml/2006/chart">
  <cdr:relSizeAnchor xmlns:cdr="http://schemas.openxmlformats.org/drawingml/2006/chartDrawing">
    <cdr:from>
      <cdr:x>0.89232</cdr:x>
      <cdr:y>0.91975</cdr:y>
    </cdr:from>
    <cdr:to>
      <cdr:x>0.99455</cdr:x>
      <cdr:y>0.99413</cdr:y>
    </cdr:to>
    <cdr:pic>
      <cdr:nvPicPr>
        <cdr:cNvPr id="7" name="Picture 6">
          <a:extLst xmlns:a="http://schemas.openxmlformats.org/drawingml/2006/main">
            <a:ext uri="{FF2B5EF4-FFF2-40B4-BE49-F238E27FC236}">
              <a16:creationId xmlns:a16="http://schemas.microsoft.com/office/drawing/2014/main" id="{C37BFA11-7AA4-4942-B117-535411DB1077}"/>
            </a:ext>
          </a:extLst>
        </cdr:cNvPr>
        <cdr:cNvPicPr>
          <a:picLocks xmlns:a="http://schemas.openxmlformats.org/drawingml/2006/main" noChangeAspect="1"/>
        </cdr:cNvPicPr>
      </cdr:nvPicPr>
      <cdr:blipFill>
        <a:blip xmlns:a="http://schemas.openxmlformats.org/drawingml/2006/main" xmlns:r="http://schemas.openxmlformats.org/officeDocument/2006/relationships" r:embed="rId1">
          <a:extLst>
            <a:ext uri="{28A0092B-C50C-407E-A947-70E740481C1C}">
              <a14:useLocalDpi xmlns:a14="http://schemas.microsoft.com/office/drawing/2010/main" val="0"/>
            </a:ext>
          </a:extLst>
        </a:blip>
        <a:stretch xmlns:a="http://schemas.openxmlformats.org/drawingml/2006/main">
          <a:fillRect/>
        </a:stretch>
      </cdr:blipFill>
      <cdr:spPr>
        <a:xfrm xmlns:a="http://schemas.openxmlformats.org/drawingml/2006/main">
          <a:off x="3741420" y="1943101"/>
          <a:ext cx="428625" cy="157146"/>
        </a:xfrm>
        <a:prstGeom xmlns:a="http://schemas.openxmlformats.org/drawingml/2006/main" prst="rect">
          <a:avLst/>
        </a:prstGeom>
      </cdr:spPr>
    </cdr:pic>
  </cdr:relSizeAnchor>
</c:userShapes>
</file>

<file path=xl/drawings/drawing4.xml><?xml version="1.0" encoding="utf-8"?>
<xdr:wsDr xmlns:xdr="http://schemas.openxmlformats.org/drawingml/2006/spreadsheetDrawing" xmlns:a="http://schemas.openxmlformats.org/drawingml/2006/main">
  <xdr:twoCellAnchor>
    <xdr:from>
      <xdr:col>0</xdr:col>
      <xdr:colOff>0</xdr:colOff>
      <xdr:row>9</xdr:row>
      <xdr:rowOff>139700</xdr:rowOff>
    </xdr:from>
    <xdr:to>
      <xdr:col>6</xdr:col>
      <xdr:colOff>393700</xdr:colOff>
      <xdr:row>24</xdr:row>
      <xdr:rowOff>120650</xdr:rowOff>
    </xdr:to>
    <xdr:graphicFrame macro="">
      <xdr:nvGraphicFramePr>
        <xdr:cNvPr id="2" name="Chart 1">
          <a:extLst>
            <a:ext uri="{FF2B5EF4-FFF2-40B4-BE49-F238E27FC236}">
              <a16:creationId xmlns:a16="http://schemas.microsoft.com/office/drawing/2014/main" id="{46D78FFC-68B3-46FD-A887-2CB8A1795F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8</xdr:col>
      <xdr:colOff>504825</xdr:colOff>
      <xdr:row>9</xdr:row>
      <xdr:rowOff>114300</xdr:rowOff>
    </xdr:from>
    <xdr:to>
      <xdr:col>14</xdr:col>
      <xdr:colOff>428625</xdr:colOff>
      <xdr:row>24</xdr:row>
      <xdr:rowOff>95250</xdr:rowOff>
    </xdr:to>
    <xdr:graphicFrame macro="">
      <xdr:nvGraphicFramePr>
        <xdr:cNvPr id="4" name="Chart 3">
          <a:extLst>
            <a:ext uri="{FF2B5EF4-FFF2-40B4-BE49-F238E27FC236}">
              <a16:creationId xmlns:a16="http://schemas.microsoft.com/office/drawing/2014/main" id="{20A728F4-BE74-4C80-8D3F-98FEC51573F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
    <pageSetUpPr fitToPage="1"/>
  </sheetPr>
  <dimension ref="A1:BI90"/>
  <sheetViews>
    <sheetView showGridLines="0" tabSelected="1" zoomScaleNormal="100" workbookViewId="0">
      <pane xSplit="3" ySplit="12" topLeftCell="V13" activePane="bottomRight" state="frozen"/>
      <selection pane="topRight" activeCell="D1" sqref="D1"/>
      <selection pane="bottomLeft" activeCell="A13" sqref="A13"/>
      <selection pane="bottomRight" activeCell="B11" sqref="B11:C11"/>
    </sheetView>
  </sheetViews>
  <sheetFormatPr defaultColWidth="8.77734375" defaultRowHeight="14.4" outlineLevelRow="1" outlineLevelCol="1" x14ac:dyDescent="0.3"/>
  <cols>
    <col min="1" max="1" width="1.77734375" style="4" customWidth="1"/>
    <col min="2" max="2" width="37.77734375" style="4" customWidth="1"/>
    <col min="3" max="3" width="10.77734375" style="4" customWidth="1"/>
    <col min="4" max="5" width="11.5546875" style="3" hidden="1" customWidth="1" outlineLevel="1"/>
    <col min="6" max="7" width="11.5546875" style="11" hidden="1" customWidth="1" outlineLevel="1"/>
    <col min="8" max="8" width="11.5546875" style="11" customWidth="1" collapsed="1"/>
    <col min="9" max="10" width="11.5546875" style="3" hidden="1" customWidth="1" outlineLevel="1"/>
    <col min="11" max="12" width="11.5546875" style="11" hidden="1" customWidth="1" outlineLevel="1"/>
    <col min="13" max="13" width="11.5546875" style="11" customWidth="1" collapsed="1"/>
    <col min="14" max="15" width="11.5546875" style="3" customWidth="1" outlineLevel="1"/>
    <col min="16" max="17" width="11.5546875" style="11" customWidth="1" outlineLevel="1"/>
    <col min="18" max="18" width="11.5546875" style="11" customWidth="1"/>
    <col min="19" max="20" width="11.5546875" style="3" customWidth="1" outlineLevel="1"/>
    <col min="21" max="22" width="11.5546875" style="11" customWidth="1" outlineLevel="1"/>
    <col min="23" max="23" width="11.5546875" style="11" customWidth="1"/>
    <col min="24" max="25" width="11.5546875" style="3" customWidth="1" outlineLevel="1"/>
    <col min="26" max="27" width="11.5546875" style="11" customWidth="1" outlineLevel="1"/>
    <col min="28" max="28" width="11.5546875" style="11" customWidth="1"/>
    <col min="29" max="30" width="11.5546875" style="3" customWidth="1" outlineLevel="1"/>
    <col min="31" max="32" width="11.5546875" style="11" customWidth="1" outlineLevel="1"/>
    <col min="33" max="33" width="11.5546875" style="11" customWidth="1"/>
    <col min="34" max="36" width="8.77734375" style="4"/>
    <col min="37" max="37" width="10.44140625" style="4" bestFit="1" customWidth="1"/>
    <col min="38" max="16384" width="8.77734375" style="4"/>
  </cols>
  <sheetData>
    <row r="1" spans="1:61" ht="9" customHeight="1" x14ac:dyDescent="0.3">
      <c r="B1" s="113" t="s">
        <v>15</v>
      </c>
    </row>
    <row r="2" spans="1:61" ht="59.25" customHeight="1" x14ac:dyDescent="0.3">
      <c r="B2" s="185" t="s">
        <v>14</v>
      </c>
      <c r="C2" s="186"/>
      <c r="K2" s="12"/>
    </row>
    <row r="3" spans="1:61" x14ac:dyDescent="0.3">
      <c r="B3" s="175" t="s">
        <v>131</v>
      </c>
      <c r="C3" s="176"/>
      <c r="D3" s="13"/>
      <c r="G3" s="14"/>
      <c r="H3" s="14"/>
      <c r="Y3" s="171"/>
      <c r="Z3" s="171"/>
      <c r="AA3" s="171"/>
      <c r="AB3" s="171"/>
      <c r="AC3" s="171"/>
      <c r="AD3" s="171"/>
      <c r="AE3" s="171"/>
      <c r="AF3" s="171"/>
      <c r="AG3" s="171"/>
    </row>
    <row r="4" spans="1:61" x14ac:dyDescent="0.3">
      <c r="B4" s="177" t="s">
        <v>132</v>
      </c>
      <c r="C4" s="178"/>
      <c r="D4" s="13"/>
      <c r="G4" s="14"/>
      <c r="H4" s="14"/>
      <c r="Y4" s="119"/>
      <c r="Z4" s="119"/>
      <c r="AA4" s="119"/>
      <c r="AB4" s="174"/>
      <c r="AC4" s="119"/>
      <c r="AD4" s="29"/>
      <c r="AE4" s="29"/>
      <c r="AF4" s="29"/>
      <c r="AG4" s="174"/>
      <c r="BI4" s="4" t="s">
        <v>15</v>
      </c>
    </row>
    <row r="5" spans="1:61" x14ac:dyDescent="0.3">
      <c r="B5" s="179" t="s">
        <v>133</v>
      </c>
      <c r="C5" s="180"/>
      <c r="D5" s="15"/>
      <c r="E5" s="13"/>
      <c r="F5" s="13"/>
      <c r="G5" s="14"/>
      <c r="H5" s="14"/>
      <c r="I5" s="14"/>
      <c r="J5" s="14"/>
      <c r="K5" s="14"/>
      <c r="L5" s="14"/>
      <c r="M5" s="13"/>
      <c r="N5" s="13"/>
      <c r="O5" s="13"/>
      <c r="P5" s="13"/>
      <c r="Q5" s="13"/>
      <c r="R5" s="13"/>
      <c r="S5" s="13"/>
      <c r="T5" s="13"/>
      <c r="U5" s="13"/>
      <c r="V5" s="13"/>
      <c r="W5" s="13"/>
      <c r="X5" s="13"/>
      <c r="Y5" s="16"/>
      <c r="Z5" s="16"/>
      <c r="AA5" s="16"/>
      <c r="AB5" s="16"/>
      <c r="AC5" s="16"/>
      <c r="AD5" s="16"/>
      <c r="AE5" s="16"/>
      <c r="AF5" s="16"/>
      <c r="AG5" s="16"/>
    </row>
    <row r="6" spans="1:61" s="124" customFormat="1" ht="14.55" hidden="1" customHeight="1" x14ac:dyDescent="0.3">
      <c r="B6" s="155"/>
      <c r="C6" s="156"/>
      <c r="D6" s="157"/>
      <c r="E6" s="157"/>
      <c r="F6" s="157"/>
      <c r="G6" s="140"/>
      <c r="H6" s="140"/>
      <c r="I6" s="157"/>
      <c r="J6" s="157"/>
      <c r="K6" s="157"/>
      <c r="L6" s="157"/>
      <c r="M6" s="158"/>
      <c r="N6" s="157"/>
      <c r="O6" s="157"/>
      <c r="P6" s="157"/>
      <c r="Q6" s="157"/>
      <c r="R6" s="157"/>
      <c r="S6" s="157"/>
      <c r="T6" s="159"/>
      <c r="U6" s="160"/>
      <c r="V6" s="157"/>
      <c r="W6" s="159"/>
      <c r="X6" s="157"/>
      <c r="Y6" s="157"/>
      <c r="Z6" s="157"/>
      <c r="AA6" s="157"/>
      <c r="AB6" s="157"/>
      <c r="AC6" s="157"/>
      <c r="AD6" s="157"/>
      <c r="AE6" s="157"/>
      <c r="AF6" s="157"/>
      <c r="AG6" s="157"/>
    </row>
    <row r="7" spans="1:61" s="124" customFormat="1" ht="14.55" hidden="1" customHeight="1" x14ac:dyDescent="0.3">
      <c r="B7" s="161"/>
      <c r="C7" s="162"/>
      <c r="D7" s="157"/>
      <c r="E7" s="157"/>
      <c r="F7" s="157"/>
      <c r="G7" s="157"/>
      <c r="H7" s="128"/>
      <c r="I7" s="128"/>
      <c r="J7" s="128"/>
      <c r="K7" s="128"/>
      <c r="L7" s="128"/>
      <c r="M7" s="128"/>
      <c r="N7" s="128"/>
      <c r="O7" s="128"/>
      <c r="P7" s="128"/>
      <c r="Q7" s="128"/>
      <c r="R7" s="128"/>
      <c r="S7" s="128"/>
      <c r="T7" s="159"/>
      <c r="U7" s="160"/>
      <c r="V7" s="128"/>
      <c r="W7" s="159"/>
      <c r="X7" s="128"/>
      <c r="Y7" s="128"/>
      <c r="Z7" s="128"/>
      <c r="AA7" s="128"/>
      <c r="AB7" s="128"/>
      <c r="AC7" s="128"/>
      <c r="AD7" s="128"/>
      <c r="AE7" s="128"/>
      <c r="AF7" s="128"/>
      <c r="AG7" s="128"/>
    </row>
    <row r="8" spans="1:61" s="124" customFormat="1" ht="14.55" hidden="1" customHeight="1" x14ac:dyDescent="0.3">
      <c r="B8" s="161"/>
      <c r="C8" s="163"/>
      <c r="D8" s="157"/>
      <c r="E8" s="157"/>
      <c r="F8" s="139"/>
      <c r="G8" s="157"/>
      <c r="H8" s="128"/>
      <c r="I8" s="128"/>
      <c r="J8" s="128"/>
      <c r="K8" s="128"/>
      <c r="L8" s="128"/>
      <c r="M8" s="128"/>
      <c r="N8" s="128"/>
      <c r="O8" s="164"/>
      <c r="P8" s="128"/>
      <c r="Q8" s="128"/>
      <c r="R8" s="128"/>
      <c r="S8" s="119"/>
      <c r="T8" s="159"/>
      <c r="U8" s="165"/>
      <c r="V8" s="165"/>
      <c r="W8" s="119"/>
      <c r="X8" s="165"/>
      <c r="Y8" s="165"/>
      <c r="Z8" s="130"/>
      <c r="AA8" s="126"/>
      <c r="AB8" s="130"/>
      <c r="AC8" s="119"/>
      <c r="AD8" s="119"/>
      <c r="AE8" s="119"/>
      <c r="AF8" s="130"/>
      <c r="AG8" s="119"/>
    </row>
    <row r="9" spans="1:61" s="124" customFormat="1" ht="14.55" hidden="1" customHeight="1" x14ac:dyDescent="0.3">
      <c r="B9" s="166"/>
      <c r="C9" s="167"/>
      <c r="D9" s="157"/>
      <c r="E9" s="157"/>
      <c r="F9" s="139"/>
      <c r="G9" s="157"/>
      <c r="H9" s="130"/>
      <c r="I9" s="130"/>
      <c r="J9" s="130"/>
      <c r="K9" s="130"/>
      <c r="L9" s="130"/>
      <c r="M9" s="130"/>
      <c r="N9" s="130"/>
      <c r="O9" s="130"/>
      <c r="P9" s="130"/>
      <c r="Q9" s="130"/>
      <c r="R9" s="130"/>
      <c r="S9" s="137"/>
      <c r="T9" s="119"/>
      <c r="U9" s="168"/>
      <c r="V9" s="169"/>
      <c r="W9" s="128"/>
      <c r="X9" s="170"/>
      <c r="Y9" s="128"/>
      <c r="Z9" s="128"/>
      <c r="AA9" s="128"/>
      <c r="AB9" s="130"/>
      <c r="AC9" s="130"/>
      <c r="AD9" s="130"/>
      <c r="AE9" s="130"/>
      <c r="AF9" s="130"/>
      <c r="AG9" s="130"/>
    </row>
    <row r="10" spans="1:61" ht="17.55" customHeight="1" x14ac:dyDescent="0.3">
      <c r="B10" s="113" t="s">
        <v>15</v>
      </c>
      <c r="D10" s="17"/>
      <c r="E10" s="17"/>
      <c r="F10" s="17"/>
      <c r="G10" s="17"/>
      <c r="H10" s="18"/>
      <c r="I10" s="17"/>
      <c r="J10" s="17"/>
      <c r="K10" s="17"/>
      <c r="L10" s="17"/>
      <c r="M10" s="17"/>
      <c r="N10" s="17"/>
      <c r="O10" s="17"/>
      <c r="P10" s="17"/>
      <c r="Q10" s="17"/>
      <c r="R10" s="17"/>
      <c r="S10" s="110"/>
      <c r="T10" s="110"/>
      <c r="U10" s="147"/>
      <c r="V10" s="153"/>
      <c r="W10" s="154"/>
      <c r="X10" s="147"/>
      <c r="Y10" s="110"/>
      <c r="Z10" s="110"/>
      <c r="AA10" s="111"/>
      <c r="AB10" s="13"/>
      <c r="AC10" s="110"/>
      <c r="AD10" s="110"/>
      <c r="AE10" s="110"/>
      <c r="AF10" s="111"/>
      <c r="AG10" s="13"/>
    </row>
    <row r="11" spans="1:61" ht="15.6" x14ac:dyDescent="0.3">
      <c r="A11" s="197"/>
      <c r="B11" s="181" t="s">
        <v>74</v>
      </c>
      <c r="C11" s="182"/>
      <c r="D11" s="26" t="s">
        <v>45</v>
      </c>
      <c r="E11" s="26" t="s">
        <v>46</v>
      </c>
      <c r="F11" s="26" t="s">
        <v>47</v>
      </c>
      <c r="G11" s="26" t="s">
        <v>48</v>
      </c>
      <c r="H11" s="79" t="s">
        <v>48</v>
      </c>
      <c r="I11" s="26" t="s">
        <v>32</v>
      </c>
      <c r="J11" s="26" t="s">
        <v>37</v>
      </c>
      <c r="K11" s="26" t="s">
        <v>38</v>
      </c>
      <c r="L11" s="26" t="s">
        <v>39</v>
      </c>
      <c r="M11" s="79" t="s">
        <v>39</v>
      </c>
      <c r="N11" s="26" t="s">
        <v>34</v>
      </c>
      <c r="O11" s="26" t="s">
        <v>33</v>
      </c>
      <c r="P11" s="26" t="s">
        <v>35</v>
      </c>
      <c r="Q11" s="26" t="s">
        <v>36</v>
      </c>
      <c r="R11" s="79" t="s">
        <v>36</v>
      </c>
      <c r="S11" s="26" t="s">
        <v>54</v>
      </c>
      <c r="T11" s="26" t="s">
        <v>55</v>
      </c>
      <c r="U11" s="26" t="s">
        <v>56</v>
      </c>
      <c r="V11" s="26" t="s">
        <v>57</v>
      </c>
      <c r="W11" s="79" t="s">
        <v>57</v>
      </c>
      <c r="X11" s="26" t="s">
        <v>58</v>
      </c>
      <c r="Y11" s="28" t="s">
        <v>59</v>
      </c>
      <c r="Z11" s="28" t="s">
        <v>60</v>
      </c>
      <c r="AA11" s="28" t="s">
        <v>61</v>
      </c>
      <c r="AB11" s="81" t="s">
        <v>61</v>
      </c>
      <c r="AC11" s="28" t="s">
        <v>62</v>
      </c>
      <c r="AD11" s="28" t="s">
        <v>63</v>
      </c>
      <c r="AE11" s="28" t="s">
        <v>64</v>
      </c>
      <c r="AF11" s="28" t="s">
        <v>65</v>
      </c>
      <c r="AG11" s="81" t="s">
        <v>65</v>
      </c>
    </row>
    <row r="12" spans="1:61" ht="17.55" customHeight="1" x14ac:dyDescent="0.45">
      <c r="A12" s="197"/>
      <c r="B12" s="183" t="s">
        <v>3</v>
      </c>
      <c r="C12" s="184"/>
      <c r="D12" s="27" t="s">
        <v>49</v>
      </c>
      <c r="E12" s="27" t="s">
        <v>50</v>
      </c>
      <c r="F12" s="27" t="s">
        <v>51</v>
      </c>
      <c r="G12" s="27" t="s">
        <v>52</v>
      </c>
      <c r="H12" s="80" t="s">
        <v>53</v>
      </c>
      <c r="I12" s="27" t="s">
        <v>40</v>
      </c>
      <c r="J12" s="27" t="s">
        <v>41</v>
      </c>
      <c r="K12" s="27" t="s">
        <v>42</v>
      </c>
      <c r="L12" s="27" t="s">
        <v>43</v>
      </c>
      <c r="M12" s="80" t="s">
        <v>44</v>
      </c>
      <c r="N12" s="27" t="s">
        <v>31</v>
      </c>
      <c r="O12" s="27" t="s">
        <v>30</v>
      </c>
      <c r="P12" s="27" t="s">
        <v>29</v>
      </c>
      <c r="Q12" s="27" t="s">
        <v>28</v>
      </c>
      <c r="R12" s="80" t="s">
        <v>27</v>
      </c>
      <c r="S12" s="27" t="s">
        <v>119</v>
      </c>
      <c r="T12" s="27" t="s">
        <v>125</v>
      </c>
      <c r="U12" s="27" t="s">
        <v>126</v>
      </c>
      <c r="V12" s="27" t="s">
        <v>127</v>
      </c>
      <c r="W12" s="80" t="s">
        <v>128</v>
      </c>
      <c r="X12" s="27" t="s">
        <v>129</v>
      </c>
      <c r="Y12" s="25" t="s">
        <v>106</v>
      </c>
      <c r="Z12" s="25" t="s">
        <v>107</v>
      </c>
      <c r="AA12" s="25" t="s">
        <v>108</v>
      </c>
      <c r="AB12" s="82" t="s">
        <v>109</v>
      </c>
      <c r="AC12" s="25" t="s">
        <v>110</v>
      </c>
      <c r="AD12" s="25" t="s">
        <v>111</v>
      </c>
      <c r="AE12" s="25" t="s">
        <v>112</v>
      </c>
      <c r="AF12" s="25" t="s">
        <v>113</v>
      </c>
      <c r="AG12" s="82" t="s">
        <v>114</v>
      </c>
    </row>
    <row r="13" spans="1:61" x14ac:dyDescent="0.3">
      <c r="A13" s="124"/>
      <c r="B13" s="189" t="s">
        <v>19</v>
      </c>
      <c r="C13" s="190"/>
      <c r="D13" s="29">
        <v>5382</v>
      </c>
      <c r="E13" s="29">
        <v>6436</v>
      </c>
      <c r="F13" s="29">
        <v>7011</v>
      </c>
      <c r="G13" s="29">
        <v>8809</v>
      </c>
      <c r="H13" s="30">
        <f>SUM(D13:G13)</f>
        <v>27638</v>
      </c>
      <c r="I13" s="29">
        <v>8032</v>
      </c>
      <c r="J13" s="29">
        <v>9321</v>
      </c>
      <c r="K13" s="29">
        <v>10328</v>
      </c>
      <c r="L13" s="29">
        <v>12972</v>
      </c>
      <c r="M13" s="30">
        <f>SUM(I13:L13)</f>
        <v>40653</v>
      </c>
      <c r="N13" s="29">
        <v>11966</v>
      </c>
      <c r="O13" s="29">
        <v>13231</v>
      </c>
      <c r="P13" s="29">
        <v>13727</v>
      </c>
      <c r="Q13" s="29">
        <v>16914</v>
      </c>
      <c r="R13" s="30">
        <f>SUM(N13:Q13)</f>
        <v>55838</v>
      </c>
      <c r="S13" s="119">
        <v>15077</v>
      </c>
      <c r="T13" s="119">
        <v>16886</v>
      </c>
      <c r="U13" s="119">
        <v>17652</v>
      </c>
      <c r="V13" s="119">
        <f>70697-U13-T13-S13</f>
        <v>21082</v>
      </c>
      <c r="W13" s="114">
        <f>SUM(S13:V13)</f>
        <v>70697</v>
      </c>
      <c r="X13" s="119">
        <v>17737</v>
      </c>
      <c r="Y13" s="119">
        <f>+Y40</f>
        <v>17533.281103932211</v>
      </c>
      <c r="Z13" s="119">
        <f>+Z40</f>
        <v>19335.89186981654</v>
      </c>
      <c r="AA13" s="119">
        <f>+AA40</f>
        <v>23692.950043089091</v>
      </c>
      <c r="AB13" s="114">
        <f>SUM(X13:AA13)</f>
        <v>78299.123016837839</v>
      </c>
      <c r="AC13" s="119">
        <f>+AC40</f>
        <v>21234.841187655882</v>
      </c>
      <c r="AD13" s="119">
        <f>+AD40</f>
        <v>21447.043652037806</v>
      </c>
      <c r="AE13" s="119">
        <f>+AE40</f>
        <v>24619.659620671253</v>
      </c>
      <c r="AF13" s="119">
        <f>+AF40</f>
        <v>31124.850363722246</v>
      </c>
      <c r="AG13" s="114">
        <f>SUM(AC13:AF13)</f>
        <v>98426.394824087183</v>
      </c>
    </row>
    <row r="14" spans="1:61" ht="16.2" x14ac:dyDescent="0.45">
      <c r="A14" s="124"/>
      <c r="B14" s="70" t="s">
        <v>67</v>
      </c>
      <c r="C14" s="71"/>
      <c r="D14" s="34">
        <v>838</v>
      </c>
      <c r="E14" s="34">
        <v>916</v>
      </c>
      <c r="F14" s="34">
        <v>987</v>
      </c>
      <c r="G14" s="34">
        <v>1048</v>
      </c>
      <c r="H14" s="35">
        <f>SUM(D14:G14)</f>
        <v>3789</v>
      </c>
      <c r="I14" s="34">
        <v>1159</v>
      </c>
      <c r="J14" s="34">
        <v>1237</v>
      </c>
      <c r="K14" s="34">
        <v>1448</v>
      </c>
      <c r="L14" s="34">
        <v>1611</v>
      </c>
      <c r="M14" s="35">
        <f>SUM(I14:L14)</f>
        <v>5455</v>
      </c>
      <c r="N14" s="34">
        <v>1927</v>
      </c>
      <c r="O14" s="34">
        <v>2214</v>
      </c>
      <c r="P14" s="34">
        <v>2418</v>
      </c>
      <c r="Q14" s="34">
        <v>2796</v>
      </c>
      <c r="R14" s="35">
        <f>SUM(N14:Q14)</f>
        <v>9355</v>
      </c>
      <c r="S14" s="34">
        <v>2816</v>
      </c>
      <c r="T14" s="121">
        <v>3307</v>
      </c>
      <c r="U14" s="121">
        <v>3155</v>
      </c>
      <c r="V14" s="121">
        <f>12770-U14-T14-S14</f>
        <v>3492</v>
      </c>
      <c r="W14" s="115">
        <f>SUM(S14:V14)</f>
        <v>12770</v>
      </c>
      <c r="X14" s="121">
        <v>3459</v>
      </c>
      <c r="Y14" s="121">
        <f>+Y13*(1-Y69)</f>
        <v>3155.9905987077991</v>
      </c>
      <c r="Z14" s="121">
        <f>+Z13*(1-Z69)</f>
        <v>3577.1399959160608</v>
      </c>
      <c r="AA14" s="121">
        <f>+AA13*(1-AA69)</f>
        <v>4501.6605081869257</v>
      </c>
      <c r="AB14" s="115">
        <f>SUM(X14:AA14)</f>
        <v>14693.791102810786</v>
      </c>
      <c r="AC14" s="34">
        <f>+AC13*(1-AC69)</f>
        <v>4140.7940315928963</v>
      </c>
      <c r="AD14" s="34">
        <f>+AD13*(1-AD69)</f>
        <v>3967.7030756269951</v>
      </c>
      <c r="AE14" s="34">
        <f>+AE13*(1-AE69)</f>
        <v>4554.6370298241827</v>
      </c>
      <c r="AF14" s="34">
        <f>+AF13*(1-AF69)</f>
        <v>5758.097317288617</v>
      </c>
      <c r="AG14" s="115">
        <f>SUM(AC14:AF14)</f>
        <v>18421.231454332694</v>
      </c>
    </row>
    <row r="15" spans="1:61" s="21" customFormat="1" x14ac:dyDescent="0.3">
      <c r="A15" s="127"/>
      <c r="B15" s="73" t="s">
        <v>66</v>
      </c>
      <c r="C15" s="74"/>
      <c r="D15" s="40">
        <f t="shared" ref="D15:AG15" si="0">+D13-D14</f>
        <v>4544</v>
      </c>
      <c r="E15" s="40">
        <f t="shared" si="0"/>
        <v>5520</v>
      </c>
      <c r="F15" s="40">
        <f t="shared" si="0"/>
        <v>6024</v>
      </c>
      <c r="G15" s="40">
        <f t="shared" si="0"/>
        <v>7761</v>
      </c>
      <c r="H15" s="41">
        <f t="shared" si="0"/>
        <v>23849</v>
      </c>
      <c r="I15" s="40">
        <f t="shared" si="0"/>
        <v>6873</v>
      </c>
      <c r="J15" s="40">
        <f t="shared" si="0"/>
        <v>8084</v>
      </c>
      <c r="K15" s="40">
        <f t="shared" si="0"/>
        <v>8880</v>
      </c>
      <c r="L15" s="40">
        <f t="shared" si="0"/>
        <v>11361</v>
      </c>
      <c r="M15" s="41">
        <f t="shared" si="0"/>
        <v>35198</v>
      </c>
      <c r="N15" s="40">
        <f t="shared" si="0"/>
        <v>10039</v>
      </c>
      <c r="O15" s="40">
        <f t="shared" si="0"/>
        <v>11017</v>
      </c>
      <c r="P15" s="40">
        <f t="shared" si="0"/>
        <v>11309</v>
      </c>
      <c r="Q15" s="40">
        <f t="shared" si="0"/>
        <v>14118</v>
      </c>
      <c r="R15" s="41">
        <f t="shared" si="0"/>
        <v>46483</v>
      </c>
      <c r="S15" s="40">
        <f t="shared" si="0"/>
        <v>12261</v>
      </c>
      <c r="T15" s="120">
        <f t="shared" si="0"/>
        <v>13579</v>
      </c>
      <c r="U15" s="40">
        <f t="shared" si="0"/>
        <v>14497</v>
      </c>
      <c r="V15" s="40">
        <f t="shared" si="0"/>
        <v>17590</v>
      </c>
      <c r="W15" s="41">
        <f t="shared" si="0"/>
        <v>57927</v>
      </c>
      <c r="X15" s="40">
        <f t="shared" si="0"/>
        <v>14278</v>
      </c>
      <c r="Y15" s="40">
        <f t="shared" si="0"/>
        <v>14377.290505224413</v>
      </c>
      <c r="Z15" s="40">
        <f t="shared" si="0"/>
        <v>15758.751873900479</v>
      </c>
      <c r="AA15" s="40">
        <f t="shared" si="0"/>
        <v>19191.289534902164</v>
      </c>
      <c r="AB15" s="116">
        <f t="shared" si="0"/>
        <v>63605.331914027054</v>
      </c>
      <c r="AC15" s="40">
        <f t="shared" si="0"/>
        <v>17094.047156062985</v>
      </c>
      <c r="AD15" s="40">
        <f t="shared" si="0"/>
        <v>17479.34057641081</v>
      </c>
      <c r="AE15" s="40">
        <f t="shared" si="0"/>
        <v>20065.022590847071</v>
      </c>
      <c r="AF15" s="40">
        <f t="shared" si="0"/>
        <v>25366.753046433631</v>
      </c>
      <c r="AG15" s="116">
        <f t="shared" si="0"/>
        <v>80005.163369754489</v>
      </c>
    </row>
    <row r="16" spans="1:61" x14ac:dyDescent="0.3">
      <c r="A16" s="124"/>
      <c r="B16" s="31" t="s">
        <v>21</v>
      </c>
      <c r="C16" s="71"/>
      <c r="D16" s="14"/>
      <c r="E16" s="14"/>
      <c r="F16" s="14"/>
      <c r="G16" s="14"/>
      <c r="H16" s="30"/>
      <c r="I16" s="14"/>
      <c r="J16" s="14"/>
      <c r="K16" s="14"/>
      <c r="L16" s="14"/>
      <c r="M16" s="30"/>
      <c r="N16" s="14"/>
      <c r="O16" s="14"/>
      <c r="P16" s="14"/>
      <c r="Q16" s="14"/>
      <c r="R16" s="30"/>
      <c r="S16" s="14"/>
      <c r="T16" s="140"/>
      <c r="U16" s="14"/>
      <c r="V16" s="14"/>
      <c r="W16" s="30"/>
      <c r="X16" s="14"/>
      <c r="Y16" s="14"/>
      <c r="Z16" s="14"/>
      <c r="AA16" s="14"/>
      <c r="AB16" s="114"/>
      <c r="AC16" s="14"/>
      <c r="AD16" s="14"/>
      <c r="AE16" s="14"/>
      <c r="AF16" s="14"/>
      <c r="AG16" s="114"/>
    </row>
    <row r="17" spans="1:33" x14ac:dyDescent="0.3">
      <c r="A17" s="124"/>
      <c r="B17" s="75" t="s">
        <v>68</v>
      </c>
      <c r="C17" s="32"/>
      <c r="D17" s="29">
        <v>1343</v>
      </c>
      <c r="E17" s="29">
        <v>1463</v>
      </c>
      <c r="F17" s="29">
        <v>1539</v>
      </c>
      <c r="G17" s="29">
        <f>5919-F17-E17-D17</f>
        <v>1574</v>
      </c>
      <c r="H17" s="30">
        <f>SUM(D17:G17)</f>
        <v>5919</v>
      </c>
      <c r="I17" s="29">
        <v>1834</v>
      </c>
      <c r="J17" s="29">
        <v>1919</v>
      </c>
      <c r="K17" s="29">
        <v>2052</v>
      </c>
      <c r="L17" s="29">
        <v>1949</v>
      </c>
      <c r="M17" s="30">
        <f>SUM(I17:L17)</f>
        <v>7754</v>
      </c>
      <c r="N17" s="29">
        <v>2238</v>
      </c>
      <c r="O17" s="29">
        <v>2523</v>
      </c>
      <c r="P17" s="29">
        <v>2657</v>
      </c>
      <c r="Q17" s="29">
        <v>2855</v>
      </c>
      <c r="R17" s="30">
        <f>SUM(N17:Q17)</f>
        <v>10273</v>
      </c>
      <c r="S17" s="29">
        <v>2860</v>
      </c>
      <c r="T17" s="119">
        <v>3315</v>
      </c>
      <c r="U17" s="29">
        <v>3548</v>
      </c>
      <c r="V17" s="29">
        <f>13600-U17-T17-S17</f>
        <v>3877</v>
      </c>
      <c r="W17" s="30">
        <f>SUM(S17:V17)</f>
        <v>13600</v>
      </c>
      <c r="X17" s="29">
        <v>4015</v>
      </c>
      <c r="Y17" s="29">
        <f>+Y13*Y70</f>
        <v>4207.9874649437306</v>
      </c>
      <c r="Z17" s="29">
        <f>+Z13*Z70</f>
        <v>4543.9345894068865</v>
      </c>
      <c r="AA17" s="29">
        <f>+AA13*AA70</f>
        <v>5212.4490094796001</v>
      </c>
      <c r="AB17" s="114">
        <f>SUM(X17:AA17)</f>
        <v>17979.371063830215</v>
      </c>
      <c r="AC17" s="29">
        <f>+AC13*AC70</f>
        <v>4990.1876790991319</v>
      </c>
      <c r="AD17" s="29">
        <f>+AD13*AD70</f>
        <v>4718.3496034483178</v>
      </c>
      <c r="AE17" s="29">
        <f>+AE13*AE70</f>
        <v>5416.3251165476759</v>
      </c>
      <c r="AF17" s="29">
        <f>+AF13*AF70</f>
        <v>6847.4670800188942</v>
      </c>
      <c r="AG17" s="114">
        <f>SUM(AC17:AF17)</f>
        <v>21972.329479114022</v>
      </c>
    </row>
    <row r="18" spans="1:33" x14ac:dyDescent="0.3">
      <c r="A18" s="124"/>
      <c r="B18" s="75" t="s">
        <v>69</v>
      </c>
      <c r="C18" s="32"/>
      <c r="D18" s="29">
        <v>826</v>
      </c>
      <c r="E18" s="29">
        <v>899</v>
      </c>
      <c r="F18" s="29">
        <v>925</v>
      </c>
      <c r="G18" s="29">
        <f>3772-F18-E18-D18</f>
        <v>1122</v>
      </c>
      <c r="H18" s="30">
        <f>SUM(D18:G18)</f>
        <v>3772</v>
      </c>
      <c r="I18" s="29">
        <v>1057</v>
      </c>
      <c r="J18" s="29">
        <v>1124</v>
      </c>
      <c r="K18" s="29">
        <v>1170</v>
      </c>
      <c r="L18" s="29">
        <v>1374</v>
      </c>
      <c r="M18" s="30">
        <f>SUM(I18:L18)</f>
        <v>4725</v>
      </c>
      <c r="N18" s="29">
        <v>1595</v>
      </c>
      <c r="O18" s="29">
        <v>1855</v>
      </c>
      <c r="P18" s="29">
        <v>1928</v>
      </c>
      <c r="Q18" s="29">
        <v>2467</v>
      </c>
      <c r="R18" s="30">
        <f>SUM(N18:Q18)</f>
        <v>7845</v>
      </c>
      <c r="S18" s="29">
        <v>2020</v>
      </c>
      <c r="T18" s="119">
        <v>2414</v>
      </c>
      <c r="U18" s="29">
        <v>2416</v>
      </c>
      <c r="V18" s="29">
        <f>9876-U18-T18-S18</f>
        <v>3026</v>
      </c>
      <c r="W18" s="30">
        <f>SUM(S18:V18)</f>
        <v>9876</v>
      </c>
      <c r="X18" s="29">
        <v>2787</v>
      </c>
      <c r="Y18" s="29">
        <f>+Y13*Y71</f>
        <v>2980.657787668476</v>
      </c>
      <c r="Z18" s="29">
        <f>+Z13*Z71</f>
        <v>3190.4221585197292</v>
      </c>
      <c r="AA18" s="29">
        <f>+AA13*AA71</f>
        <v>3553.9425064633638</v>
      </c>
      <c r="AB18" s="114">
        <f>SUM(X18:AA18)</f>
        <v>12512.022452651569</v>
      </c>
      <c r="AC18" s="29">
        <f>+AC13*AC71</f>
        <v>3482.5139547755648</v>
      </c>
      <c r="AD18" s="29">
        <f>+AD13*AD71</f>
        <v>3431.5269843260489</v>
      </c>
      <c r="AE18" s="29">
        <f>+AE13*AE71</f>
        <v>3939.1455393074007</v>
      </c>
      <c r="AF18" s="29">
        <f>+AF13*AF71</f>
        <v>4979.9760581955597</v>
      </c>
      <c r="AG18" s="114">
        <f>SUM(AC18:AF18)</f>
        <v>15833.162536604574</v>
      </c>
    </row>
    <row r="19" spans="1:33" ht="17.25" customHeight="1" x14ac:dyDescent="0.45">
      <c r="A19" s="124"/>
      <c r="B19" s="75" t="s">
        <v>70</v>
      </c>
      <c r="C19" s="32"/>
      <c r="D19" s="34">
        <v>366</v>
      </c>
      <c r="E19" s="34">
        <v>412</v>
      </c>
      <c r="F19" s="34">
        <v>438</v>
      </c>
      <c r="G19" s="34">
        <f>1731-F19-E19-D19</f>
        <v>515</v>
      </c>
      <c r="H19" s="35">
        <f>SUM(D19:G19)</f>
        <v>1731</v>
      </c>
      <c r="I19" s="34">
        <v>655</v>
      </c>
      <c r="J19" s="34">
        <v>640</v>
      </c>
      <c r="K19" s="34">
        <v>536</v>
      </c>
      <c r="L19" s="34">
        <v>686</v>
      </c>
      <c r="M19" s="35">
        <f>SUM(I19:L19)</f>
        <v>2517</v>
      </c>
      <c r="N19" s="34">
        <v>757</v>
      </c>
      <c r="O19" s="34">
        <v>776</v>
      </c>
      <c r="P19" s="34">
        <v>943</v>
      </c>
      <c r="Q19" s="34">
        <v>976</v>
      </c>
      <c r="R19" s="35">
        <f>SUM(N19:Q19)</f>
        <v>3452</v>
      </c>
      <c r="S19" s="121">
        <v>4064</v>
      </c>
      <c r="T19" s="121">
        <v>3224</v>
      </c>
      <c r="U19" s="34">
        <v>1348</v>
      </c>
      <c r="V19" s="34">
        <f>10465-U19-T19-S19</f>
        <v>1829</v>
      </c>
      <c r="W19" s="35">
        <f>SUM(S19:V19)</f>
        <v>10465</v>
      </c>
      <c r="X19" s="34">
        <v>1583</v>
      </c>
      <c r="Y19" s="34">
        <f>Y13*Y72</f>
        <v>2103.9937324718653</v>
      </c>
      <c r="Z19" s="34">
        <f>Z13*Z72</f>
        <v>1836.9097276325713</v>
      </c>
      <c r="AA19" s="34">
        <f>AA13*AA72</f>
        <v>1871.7430534040382</v>
      </c>
      <c r="AB19" s="115">
        <f>SUM(X19:AA19)</f>
        <v>7395.6465135084745</v>
      </c>
      <c r="AC19" s="34">
        <f>AC13*AC72</f>
        <v>1911.1357068890293</v>
      </c>
      <c r="AD19" s="34">
        <f>AD13*AD72</f>
        <v>1715.7634921630245</v>
      </c>
      <c r="AE19" s="34">
        <f>AE13*AE72</f>
        <v>1969.5727696537003</v>
      </c>
      <c r="AF19" s="34">
        <f>AF13*AF72</f>
        <v>2303.238926915446</v>
      </c>
      <c r="AG19" s="115">
        <f>SUM(AC19:AF19)</f>
        <v>7899.7108956211996</v>
      </c>
    </row>
    <row r="20" spans="1:33" s="39" customFormat="1" ht="17.25" customHeight="1" x14ac:dyDescent="0.45">
      <c r="A20" s="149"/>
      <c r="B20" s="90" t="s">
        <v>11</v>
      </c>
      <c r="C20" s="36"/>
      <c r="D20" s="37">
        <f t="shared" ref="D20:AG20" si="1">SUM(D17:D19)</f>
        <v>2535</v>
      </c>
      <c r="E20" s="37">
        <f t="shared" si="1"/>
        <v>2774</v>
      </c>
      <c r="F20" s="37">
        <f t="shared" si="1"/>
        <v>2902</v>
      </c>
      <c r="G20" s="37">
        <f t="shared" si="1"/>
        <v>3211</v>
      </c>
      <c r="H20" s="38">
        <f t="shared" si="1"/>
        <v>11422</v>
      </c>
      <c r="I20" s="37">
        <f t="shared" si="1"/>
        <v>3546</v>
      </c>
      <c r="J20" s="37">
        <f t="shared" si="1"/>
        <v>3683</v>
      </c>
      <c r="K20" s="37">
        <f t="shared" si="1"/>
        <v>3758</v>
      </c>
      <c r="L20" s="37">
        <f t="shared" si="1"/>
        <v>4009</v>
      </c>
      <c r="M20" s="38">
        <f t="shared" si="1"/>
        <v>14996</v>
      </c>
      <c r="N20" s="37">
        <f t="shared" si="1"/>
        <v>4590</v>
      </c>
      <c r="O20" s="37">
        <f t="shared" si="1"/>
        <v>5154</v>
      </c>
      <c r="P20" s="37">
        <f t="shared" si="1"/>
        <v>5528</v>
      </c>
      <c r="Q20" s="37">
        <f t="shared" si="1"/>
        <v>6298</v>
      </c>
      <c r="R20" s="38">
        <f t="shared" si="1"/>
        <v>21570</v>
      </c>
      <c r="S20" s="37">
        <f t="shared" si="1"/>
        <v>8944</v>
      </c>
      <c r="T20" s="141">
        <f t="shared" si="1"/>
        <v>8953</v>
      </c>
      <c r="U20" s="37">
        <f t="shared" si="1"/>
        <v>7312</v>
      </c>
      <c r="V20" s="37">
        <f t="shared" si="1"/>
        <v>8732</v>
      </c>
      <c r="W20" s="38">
        <f t="shared" si="1"/>
        <v>33941</v>
      </c>
      <c r="X20" s="37">
        <f t="shared" si="1"/>
        <v>8385</v>
      </c>
      <c r="Y20" s="37">
        <f t="shared" si="1"/>
        <v>9292.6389850840715</v>
      </c>
      <c r="Z20" s="37">
        <f t="shared" si="1"/>
        <v>9571.2664755591868</v>
      </c>
      <c r="AA20" s="37">
        <f t="shared" si="1"/>
        <v>10638.134569347001</v>
      </c>
      <c r="AB20" s="117">
        <f t="shared" si="1"/>
        <v>37887.040029990254</v>
      </c>
      <c r="AC20" s="37">
        <f t="shared" si="1"/>
        <v>10383.837340763726</v>
      </c>
      <c r="AD20" s="37">
        <f t="shared" si="1"/>
        <v>9865.6400799373914</v>
      </c>
      <c r="AE20" s="37">
        <f t="shared" si="1"/>
        <v>11325.043425508777</v>
      </c>
      <c r="AF20" s="37">
        <f t="shared" si="1"/>
        <v>14130.6820651299</v>
      </c>
      <c r="AG20" s="117">
        <f t="shared" si="1"/>
        <v>45705.202911339802</v>
      </c>
    </row>
    <row r="21" spans="1:33" x14ac:dyDescent="0.3">
      <c r="A21" s="124"/>
      <c r="B21" s="90" t="s">
        <v>22</v>
      </c>
      <c r="C21" s="33"/>
      <c r="D21" s="40">
        <f t="shared" ref="D21:AG21" si="2">D15-D20</f>
        <v>2009</v>
      </c>
      <c r="E21" s="40">
        <f t="shared" si="2"/>
        <v>2746</v>
      </c>
      <c r="F21" s="40">
        <f t="shared" si="2"/>
        <v>3122</v>
      </c>
      <c r="G21" s="40">
        <f t="shared" si="2"/>
        <v>4550</v>
      </c>
      <c r="H21" s="41">
        <f t="shared" si="2"/>
        <v>12427</v>
      </c>
      <c r="I21" s="40">
        <f t="shared" si="2"/>
        <v>3327</v>
      </c>
      <c r="J21" s="40">
        <f t="shared" si="2"/>
        <v>4401</v>
      </c>
      <c r="K21" s="40">
        <f t="shared" si="2"/>
        <v>5122</v>
      </c>
      <c r="L21" s="40">
        <f t="shared" si="2"/>
        <v>7352</v>
      </c>
      <c r="M21" s="41">
        <f t="shared" si="2"/>
        <v>20202</v>
      </c>
      <c r="N21" s="40">
        <f t="shared" si="2"/>
        <v>5449</v>
      </c>
      <c r="O21" s="40">
        <f t="shared" si="2"/>
        <v>5863</v>
      </c>
      <c r="P21" s="40">
        <f t="shared" si="2"/>
        <v>5781</v>
      </c>
      <c r="Q21" s="40">
        <f t="shared" si="2"/>
        <v>7820</v>
      </c>
      <c r="R21" s="41">
        <f t="shared" si="2"/>
        <v>24913</v>
      </c>
      <c r="S21" s="120">
        <f t="shared" si="2"/>
        <v>3317</v>
      </c>
      <c r="T21" s="120">
        <f t="shared" si="2"/>
        <v>4626</v>
      </c>
      <c r="U21" s="120">
        <f t="shared" si="2"/>
        <v>7185</v>
      </c>
      <c r="V21" s="120">
        <f t="shared" si="2"/>
        <v>8858</v>
      </c>
      <c r="W21" s="41">
        <f t="shared" si="2"/>
        <v>23986</v>
      </c>
      <c r="X21" s="40">
        <f t="shared" si="2"/>
        <v>5893</v>
      </c>
      <c r="Y21" s="40">
        <f t="shared" si="2"/>
        <v>5084.6515201403417</v>
      </c>
      <c r="Z21" s="40">
        <f t="shared" si="2"/>
        <v>6187.4853983412922</v>
      </c>
      <c r="AA21" s="40">
        <f t="shared" si="2"/>
        <v>8553.1549655551626</v>
      </c>
      <c r="AB21" s="116">
        <f t="shared" si="2"/>
        <v>25718.2918840368</v>
      </c>
      <c r="AC21" s="40">
        <f t="shared" si="2"/>
        <v>6710.2098152992585</v>
      </c>
      <c r="AD21" s="40">
        <f t="shared" si="2"/>
        <v>7613.7004964734188</v>
      </c>
      <c r="AE21" s="40">
        <f t="shared" si="2"/>
        <v>8739.9791653382945</v>
      </c>
      <c r="AF21" s="40">
        <f t="shared" si="2"/>
        <v>11236.07098130373</v>
      </c>
      <c r="AG21" s="116">
        <f t="shared" si="2"/>
        <v>34299.960458414687</v>
      </c>
    </row>
    <row r="22" spans="1:33" ht="16.2" x14ac:dyDescent="0.45">
      <c r="A22" s="124"/>
      <c r="B22" s="70" t="s">
        <v>71</v>
      </c>
      <c r="C22" s="69"/>
      <c r="D22" s="34">
        <v>56</v>
      </c>
      <c r="E22" s="34">
        <v>20</v>
      </c>
      <c r="F22" s="34">
        <v>47</v>
      </c>
      <c r="G22" s="34">
        <v>-32</v>
      </c>
      <c r="H22" s="35">
        <f>SUM(D22:G22)</f>
        <v>91</v>
      </c>
      <c r="I22" s="34">
        <v>81</v>
      </c>
      <c r="J22" s="34">
        <v>87</v>
      </c>
      <c r="K22" s="34">
        <v>114</v>
      </c>
      <c r="L22" s="34">
        <v>110</v>
      </c>
      <c r="M22" s="35">
        <f>SUM(I22:L22)</f>
        <v>392</v>
      </c>
      <c r="N22" s="34">
        <v>161</v>
      </c>
      <c r="O22" s="34">
        <v>5</v>
      </c>
      <c r="P22" s="34">
        <v>131</v>
      </c>
      <c r="Q22" s="34">
        <v>151</v>
      </c>
      <c r="R22" s="35">
        <f>SUM(N22:Q22)</f>
        <v>448</v>
      </c>
      <c r="S22" s="121">
        <v>165</v>
      </c>
      <c r="T22" s="121">
        <v>206</v>
      </c>
      <c r="U22" s="121">
        <v>144</v>
      </c>
      <c r="V22" s="121">
        <f>826-U22-T22-S22</f>
        <v>311</v>
      </c>
      <c r="W22" s="35">
        <f>SUM(S22:V22)</f>
        <v>826</v>
      </c>
      <c r="X22" s="121">
        <v>-32</v>
      </c>
      <c r="Y22" s="57">
        <f>AVERAGE(X22,V22,U22,T22)+20</f>
        <v>177.25</v>
      </c>
      <c r="Z22" s="57">
        <f>AVERAGE(Y22,X22,V22,U22)</f>
        <v>150.0625</v>
      </c>
      <c r="AA22" s="57">
        <f>AVERAGE(Z22,Y22,X22,V22)</f>
        <v>151.578125</v>
      </c>
      <c r="AB22" s="115">
        <f>SUM(X22:AA22)</f>
        <v>446.890625</v>
      </c>
      <c r="AC22" s="57">
        <f>AVERAGE(AA22,Z22,Y22,X22)</f>
        <v>111.72265625</v>
      </c>
      <c r="AD22" s="57">
        <f>AVERAGE(AC22,AA22,Z22,Y22)</f>
        <v>147.6533203125</v>
      </c>
      <c r="AE22" s="57">
        <f>AVERAGE(AD22,AC22,AA22,Z22)</f>
        <v>140.254150390625</v>
      </c>
      <c r="AF22" s="57">
        <f>AVERAGE(AE22,AD22,AC22,AA22)</f>
        <v>137.80206298828125</v>
      </c>
      <c r="AG22" s="115">
        <f>SUM(AC22:AF22)</f>
        <v>537.43218994140625</v>
      </c>
    </row>
    <row r="23" spans="1:33" x14ac:dyDescent="0.3">
      <c r="A23" s="124"/>
      <c r="B23" s="191" t="s">
        <v>23</v>
      </c>
      <c r="C23" s="192"/>
      <c r="D23" s="40">
        <f t="shared" ref="D23:AG23" si="3">D21+D22</f>
        <v>2065</v>
      </c>
      <c r="E23" s="40">
        <f t="shared" si="3"/>
        <v>2766</v>
      </c>
      <c r="F23" s="40">
        <f t="shared" si="3"/>
        <v>3169</v>
      </c>
      <c r="G23" s="40">
        <f t="shared" si="3"/>
        <v>4518</v>
      </c>
      <c r="H23" s="41">
        <f t="shared" si="3"/>
        <v>12518</v>
      </c>
      <c r="I23" s="40">
        <f t="shared" si="3"/>
        <v>3408</v>
      </c>
      <c r="J23" s="40">
        <f t="shared" si="3"/>
        <v>4488</v>
      </c>
      <c r="K23" s="40">
        <f t="shared" si="3"/>
        <v>5236</v>
      </c>
      <c r="L23" s="40">
        <f t="shared" si="3"/>
        <v>7462</v>
      </c>
      <c r="M23" s="41">
        <f t="shared" si="3"/>
        <v>20594</v>
      </c>
      <c r="N23" s="40">
        <f t="shared" si="3"/>
        <v>5610</v>
      </c>
      <c r="O23" s="40">
        <f t="shared" si="3"/>
        <v>5868</v>
      </c>
      <c r="P23" s="40">
        <f t="shared" si="3"/>
        <v>5912</v>
      </c>
      <c r="Q23" s="40">
        <f t="shared" si="3"/>
        <v>7971</v>
      </c>
      <c r="R23" s="41">
        <f t="shared" si="3"/>
        <v>25361</v>
      </c>
      <c r="S23" s="120">
        <f t="shared" si="3"/>
        <v>3482</v>
      </c>
      <c r="T23" s="120">
        <f t="shared" si="3"/>
        <v>4832</v>
      </c>
      <c r="U23" s="40">
        <f t="shared" si="3"/>
        <v>7329</v>
      </c>
      <c r="V23" s="40">
        <f>V21+V22</f>
        <v>9169</v>
      </c>
      <c r="W23" s="41">
        <f t="shared" si="3"/>
        <v>24812</v>
      </c>
      <c r="X23" s="120">
        <f t="shared" si="3"/>
        <v>5861</v>
      </c>
      <c r="Y23" s="40">
        <f t="shared" si="3"/>
        <v>5261.9015201403417</v>
      </c>
      <c r="Z23" s="40">
        <f t="shared" si="3"/>
        <v>6337.5478983412922</v>
      </c>
      <c r="AA23" s="40">
        <f t="shared" si="3"/>
        <v>8704.7330905551626</v>
      </c>
      <c r="AB23" s="116">
        <f t="shared" si="3"/>
        <v>26165.1825090368</v>
      </c>
      <c r="AC23" s="40">
        <f t="shared" si="3"/>
        <v>6821.9324715492585</v>
      </c>
      <c r="AD23" s="40">
        <f t="shared" si="3"/>
        <v>7761.3538167859188</v>
      </c>
      <c r="AE23" s="40">
        <f t="shared" si="3"/>
        <v>8880.2333157289195</v>
      </c>
      <c r="AF23" s="40">
        <f t="shared" si="3"/>
        <v>11373.873044292011</v>
      </c>
      <c r="AG23" s="116">
        <f t="shared" si="3"/>
        <v>34837.392648356094</v>
      </c>
    </row>
    <row r="24" spans="1:33" ht="16.2" x14ac:dyDescent="0.45">
      <c r="A24" s="124"/>
      <c r="B24" s="189" t="s">
        <v>7</v>
      </c>
      <c r="C24" s="190"/>
      <c r="D24" s="34">
        <v>-555</v>
      </c>
      <c r="E24" s="34">
        <v>-711</v>
      </c>
      <c r="F24" s="34">
        <v>-790</v>
      </c>
      <c r="G24" s="34">
        <f>-2301-F24-E24-D24</f>
        <v>-245</v>
      </c>
      <c r="H24" s="35">
        <f>SUM(D24:G24)</f>
        <v>-2301</v>
      </c>
      <c r="I24" s="34">
        <v>-344</v>
      </c>
      <c r="J24" s="34">
        <v>-594</v>
      </c>
      <c r="K24" s="34">
        <v>-529</v>
      </c>
      <c r="L24" s="34">
        <v>-3194</v>
      </c>
      <c r="M24" s="35">
        <f>SUM(I24:L24)</f>
        <v>-4661</v>
      </c>
      <c r="N24" s="34">
        <v>-622</v>
      </c>
      <c r="O24" s="34">
        <v>-762</v>
      </c>
      <c r="P24" s="34">
        <v>-775</v>
      </c>
      <c r="Q24" s="34">
        <v>-1089</v>
      </c>
      <c r="R24" s="35">
        <f>SUM(N24:Q24)</f>
        <v>-3248</v>
      </c>
      <c r="S24" s="121">
        <v>-1053</v>
      </c>
      <c r="T24" s="121">
        <v>-2216</v>
      </c>
      <c r="U24" s="34">
        <v>-1238</v>
      </c>
      <c r="V24" s="34">
        <f>-6327-U24-T24-S24</f>
        <v>-1820</v>
      </c>
      <c r="W24" s="35">
        <f>SUM(S24:V24)</f>
        <v>-6327</v>
      </c>
      <c r="X24" s="121">
        <v>-959</v>
      </c>
      <c r="Y24" s="34">
        <f>+Y23*-Y76</f>
        <v>-947.14227362526151</v>
      </c>
      <c r="Z24" s="34">
        <f>+Z23*-Z76</f>
        <v>-1140.7586217014325</v>
      </c>
      <c r="AA24" s="34">
        <f>+AA23*-AA76</f>
        <v>-1566.8519562999293</v>
      </c>
      <c r="AB24" s="115">
        <f>SUM(X24:AA24)</f>
        <v>-4613.7528516266229</v>
      </c>
      <c r="AC24" s="34">
        <f>+AC23*-AC76</f>
        <v>-1200.0187765194014</v>
      </c>
      <c r="AD24" s="34">
        <f>+AD23*-AD76</f>
        <v>-1408.2535476070325</v>
      </c>
      <c r="AE24" s="34">
        <f>+AE23*-AE76</f>
        <v>-1614.4743443743196</v>
      </c>
      <c r="AF24" s="34">
        <f>+AF23*-AF76</f>
        <v>-2072.9650948431645</v>
      </c>
      <c r="AG24" s="115">
        <f>SUM(AC24:AF24)</f>
        <v>-6295.7117633439175</v>
      </c>
    </row>
    <row r="25" spans="1:33" x14ac:dyDescent="0.3">
      <c r="A25" s="131"/>
      <c r="B25" s="191" t="s">
        <v>8</v>
      </c>
      <c r="C25" s="192"/>
      <c r="D25" s="40">
        <f t="shared" ref="D25:AG25" si="4">+D23+D24</f>
        <v>1510</v>
      </c>
      <c r="E25" s="40">
        <f t="shared" si="4"/>
        <v>2055</v>
      </c>
      <c r="F25" s="40">
        <f t="shared" si="4"/>
        <v>2379</v>
      </c>
      <c r="G25" s="40">
        <f t="shared" si="4"/>
        <v>4273</v>
      </c>
      <c r="H25" s="41">
        <f t="shared" si="4"/>
        <v>10217</v>
      </c>
      <c r="I25" s="40">
        <f t="shared" si="4"/>
        <v>3064</v>
      </c>
      <c r="J25" s="40">
        <f t="shared" si="4"/>
        <v>3894</v>
      </c>
      <c r="K25" s="40">
        <f t="shared" si="4"/>
        <v>4707</v>
      </c>
      <c r="L25" s="40">
        <f t="shared" si="4"/>
        <v>4268</v>
      </c>
      <c r="M25" s="41">
        <f t="shared" si="4"/>
        <v>15933</v>
      </c>
      <c r="N25" s="40">
        <f t="shared" si="4"/>
        <v>4988</v>
      </c>
      <c r="O25" s="40">
        <f t="shared" si="4"/>
        <v>5106</v>
      </c>
      <c r="P25" s="40">
        <f t="shared" si="4"/>
        <v>5137</v>
      </c>
      <c r="Q25" s="40">
        <f t="shared" si="4"/>
        <v>6882</v>
      </c>
      <c r="R25" s="41">
        <f t="shared" si="4"/>
        <v>22113</v>
      </c>
      <c r="S25" s="120">
        <f t="shared" si="4"/>
        <v>2429</v>
      </c>
      <c r="T25" s="120">
        <f t="shared" si="4"/>
        <v>2616</v>
      </c>
      <c r="U25" s="40">
        <f t="shared" si="4"/>
        <v>6091</v>
      </c>
      <c r="V25" s="40">
        <f t="shared" si="4"/>
        <v>7349</v>
      </c>
      <c r="W25" s="41">
        <f t="shared" si="4"/>
        <v>18485</v>
      </c>
      <c r="X25" s="120">
        <f t="shared" si="4"/>
        <v>4902</v>
      </c>
      <c r="Y25" s="40">
        <f t="shared" si="4"/>
        <v>4314.7592465150801</v>
      </c>
      <c r="Z25" s="40">
        <f t="shared" si="4"/>
        <v>5196.78927663986</v>
      </c>
      <c r="AA25" s="40">
        <f t="shared" si="4"/>
        <v>7137.8811342552335</v>
      </c>
      <c r="AB25" s="116">
        <f t="shared" si="4"/>
        <v>21551.429657410175</v>
      </c>
      <c r="AC25" s="40">
        <f t="shared" si="4"/>
        <v>5621.9136950298571</v>
      </c>
      <c r="AD25" s="40">
        <f t="shared" si="4"/>
        <v>6353.1002691788863</v>
      </c>
      <c r="AE25" s="40">
        <f t="shared" si="4"/>
        <v>7265.7589713546004</v>
      </c>
      <c r="AF25" s="40">
        <f t="shared" si="4"/>
        <v>9300.9079494488469</v>
      </c>
      <c r="AG25" s="116">
        <f t="shared" si="4"/>
        <v>28541.680885012174</v>
      </c>
    </row>
    <row r="26" spans="1:33" ht="16.2" x14ac:dyDescent="0.45">
      <c r="A26" s="131"/>
      <c r="B26" s="47" t="s">
        <v>72</v>
      </c>
      <c r="C26" s="71"/>
      <c r="D26" s="34">
        <v>5</v>
      </c>
      <c r="E26" s="34">
        <v>7</v>
      </c>
      <c r="F26" s="34">
        <v>6</v>
      </c>
      <c r="G26" s="34">
        <v>7</v>
      </c>
      <c r="H26" s="35">
        <f>SUM(D26:G26)</f>
        <v>25</v>
      </c>
      <c r="I26" s="34">
        <v>5</v>
      </c>
      <c r="J26" s="34">
        <v>4</v>
      </c>
      <c r="K26" s="34">
        <v>3</v>
      </c>
      <c r="L26" s="34">
        <v>2</v>
      </c>
      <c r="M26" s="35">
        <f>SUM(I26:L26)</f>
        <v>14</v>
      </c>
      <c r="N26" s="34">
        <v>1</v>
      </c>
      <c r="O26" s="34">
        <v>0</v>
      </c>
      <c r="P26" s="34">
        <v>0</v>
      </c>
      <c r="Q26" s="34">
        <v>0</v>
      </c>
      <c r="R26" s="35">
        <f>SUM(N26:Q26)</f>
        <v>1</v>
      </c>
      <c r="S26" s="121">
        <v>0</v>
      </c>
      <c r="T26" s="121">
        <v>0</v>
      </c>
      <c r="U26" s="121">
        <v>0</v>
      </c>
      <c r="V26" s="121">
        <f>0-U26-T26-S26</f>
        <v>0</v>
      </c>
      <c r="W26" s="35">
        <f>SUM(S26:V26)</f>
        <v>0</v>
      </c>
      <c r="X26" s="121">
        <v>0</v>
      </c>
      <c r="Y26" s="121">
        <v>0</v>
      </c>
      <c r="Z26" s="121">
        <v>0</v>
      </c>
      <c r="AA26" s="121">
        <v>0</v>
      </c>
      <c r="AB26" s="115">
        <f>SUM(X26:AA26)</f>
        <v>0</v>
      </c>
      <c r="AC26" s="121">
        <v>0</v>
      </c>
      <c r="AD26" s="121">
        <v>0</v>
      </c>
      <c r="AE26" s="121">
        <v>0</v>
      </c>
      <c r="AF26" s="121">
        <v>0</v>
      </c>
      <c r="AG26" s="115">
        <f>SUM(AC26:AF26)</f>
        <v>0</v>
      </c>
    </row>
    <row r="27" spans="1:33" s="21" customFormat="1" x14ac:dyDescent="0.3">
      <c r="A27" s="149"/>
      <c r="B27" s="78" t="s">
        <v>73</v>
      </c>
      <c r="C27" s="74"/>
      <c r="D27" s="40">
        <f t="shared" ref="D27:AG27" si="5">+D25-D26</f>
        <v>1505</v>
      </c>
      <c r="E27" s="40">
        <f t="shared" si="5"/>
        <v>2048</v>
      </c>
      <c r="F27" s="40">
        <f t="shared" si="5"/>
        <v>2373</v>
      </c>
      <c r="G27" s="40">
        <f t="shared" si="5"/>
        <v>4266</v>
      </c>
      <c r="H27" s="41">
        <f t="shared" si="5"/>
        <v>10192</v>
      </c>
      <c r="I27" s="40">
        <f t="shared" si="5"/>
        <v>3059</v>
      </c>
      <c r="J27" s="40">
        <f t="shared" si="5"/>
        <v>3890</v>
      </c>
      <c r="K27" s="40">
        <f t="shared" si="5"/>
        <v>4704</v>
      </c>
      <c r="L27" s="40">
        <f t="shared" si="5"/>
        <v>4266</v>
      </c>
      <c r="M27" s="41">
        <f t="shared" si="5"/>
        <v>15919</v>
      </c>
      <c r="N27" s="40">
        <f t="shared" si="5"/>
        <v>4987</v>
      </c>
      <c r="O27" s="40">
        <f t="shared" si="5"/>
        <v>5106</v>
      </c>
      <c r="P27" s="40">
        <f t="shared" si="5"/>
        <v>5137</v>
      </c>
      <c r="Q27" s="40">
        <f t="shared" si="5"/>
        <v>6882</v>
      </c>
      <c r="R27" s="41">
        <f t="shared" si="5"/>
        <v>22112</v>
      </c>
      <c r="S27" s="120">
        <f t="shared" si="5"/>
        <v>2429</v>
      </c>
      <c r="T27" s="120">
        <f t="shared" si="5"/>
        <v>2616</v>
      </c>
      <c r="U27" s="40">
        <f t="shared" si="5"/>
        <v>6091</v>
      </c>
      <c r="V27" s="40">
        <f t="shared" si="5"/>
        <v>7349</v>
      </c>
      <c r="W27" s="41">
        <f t="shared" si="5"/>
        <v>18485</v>
      </c>
      <c r="X27" s="40">
        <f t="shared" si="5"/>
        <v>4902</v>
      </c>
      <c r="Y27" s="40">
        <f t="shared" si="5"/>
        <v>4314.7592465150801</v>
      </c>
      <c r="Z27" s="40">
        <f t="shared" si="5"/>
        <v>5196.78927663986</v>
      </c>
      <c r="AA27" s="40">
        <f t="shared" si="5"/>
        <v>7137.8811342552335</v>
      </c>
      <c r="AB27" s="116">
        <f t="shared" si="5"/>
        <v>21551.429657410175</v>
      </c>
      <c r="AC27" s="40">
        <f t="shared" si="5"/>
        <v>5621.9136950298571</v>
      </c>
      <c r="AD27" s="40">
        <f t="shared" si="5"/>
        <v>6353.1002691788863</v>
      </c>
      <c r="AE27" s="40">
        <f t="shared" si="5"/>
        <v>7265.7589713546004</v>
      </c>
      <c r="AF27" s="40">
        <f t="shared" si="5"/>
        <v>9300.9079494488469</v>
      </c>
      <c r="AG27" s="116">
        <f t="shared" si="5"/>
        <v>28541.680885012174</v>
      </c>
    </row>
    <row r="28" spans="1:33" x14ac:dyDescent="0.3">
      <c r="A28" s="124"/>
      <c r="B28" s="189" t="s">
        <v>0</v>
      </c>
      <c r="C28" s="190"/>
      <c r="D28" s="29">
        <v>2843</v>
      </c>
      <c r="E28" s="29">
        <v>2856</v>
      </c>
      <c r="F28" s="29">
        <v>2871</v>
      </c>
      <c r="G28" s="29">
        <v>2882</v>
      </c>
      <c r="H28" s="30">
        <v>2863.4998999999998</v>
      </c>
      <c r="I28" s="29">
        <v>2891</v>
      </c>
      <c r="J28" s="29">
        <v>2900</v>
      </c>
      <c r="K28" s="29">
        <v>2904</v>
      </c>
      <c r="L28" s="29">
        <v>2907</v>
      </c>
      <c r="M28" s="30">
        <v>2901</v>
      </c>
      <c r="N28" s="29">
        <v>2906</v>
      </c>
      <c r="O28" s="29">
        <v>2895</v>
      </c>
      <c r="P28" s="29">
        <v>2885</v>
      </c>
      <c r="Q28" s="29">
        <v>2872</v>
      </c>
      <c r="R28" s="30">
        <v>2890</v>
      </c>
      <c r="S28" s="119">
        <v>2856</v>
      </c>
      <c r="T28" s="119">
        <v>2855</v>
      </c>
      <c r="U28" s="29">
        <v>2854</v>
      </c>
      <c r="V28" s="29">
        <v>2854</v>
      </c>
      <c r="W28" s="30">
        <f>(S28*S25/W25)+(T28*T25/W25)+(U28*U25/W25)+(V28*V25/W25)</f>
        <v>2854.4043278333784</v>
      </c>
      <c r="X28" s="29">
        <v>2851</v>
      </c>
      <c r="Y28" s="29">
        <f>X28*(1+Y78)-Y82</f>
        <v>2851.0330692356883</v>
      </c>
      <c r="Z28" s="29">
        <f>Y28*(1+Z78)-Z82</f>
        <v>2850.9589626808297</v>
      </c>
      <c r="AA28" s="29">
        <f>Z28*(1+AA78)-AA82</f>
        <v>2850.801547854137</v>
      </c>
      <c r="AB28" s="114">
        <f>(X28*X25/AB25)+(Y28*Y25/AB25)+(Z28*Z25/AB25)+(AA28*AA25/AB25)</f>
        <v>2850.9309974158841</v>
      </c>
      <c r="AC28" s="29">
        <f>AA28*(1+AC78)-AC82</f>
        <v>2850.2824429174052</v>
      </c>
      <c r="AD28" s="29">
        <f>AC28*(1+AD78)-AD82</f>
        <v>2850.1018973161258</v>
      </c>
      <c r="AE28" s="29">
        <f>AD28*(1+AE78)-AE82</f>
        <v>2849.8679559935558</v>
      </c>
      <c r="AF28" s="29">
        <f>AE28*(1+AF78)-AF82</f>
        <v>2849.5940677266613</v>
      </c>
      <c r="AG28" s="114">
        <f>(AC28*AC25/AG25)+(AD28*AD25/AG25)+(AE28*AE25/AG25)+(AF28*AF25/AG25)</f>
        <v>2849.9124191364008</v>
      </c>
    </row>
    <row r="29" spans="1:33" ht="15.75" customHeight="1" x14ac:dyDescent="0.3">
      <c r="A29" s="124"/>
      <c r="B29" s="189" t="s">
        <v>1</v>
      </c>
      <c r="C29" s="190"/>
      <c r="D29" s="29">
        <v>2888</v>
      </c>
      <c r="E29" s="29">
        <v>2904</v>
      </c>
      <c r="F29" s="29">
        <v>2915</v>
      </c>
      <c r="G29" s="29">
        <v>2938</v>
      </c>
      <c r="H29" s="30">
        <v>2925</v>
      </c>
      <c r="I29" s="29">
        <v>2944</v>
      </c>
      <c r="J29" s="29">
        <v>2951</v>
      </c>
      <c r="K29" s="29">
        <v>2956</v>
      </c>
      <c r="L29" s="29">
        <v>2954</v>
      </c>
      <c r="M29" s="30">
        <v>2956</v>
      </c>
      <c r="N29" s="29">
        <v>2945</v>
      </c>
      <c r="O29" s="29">
        <v>2930</v>
      </c>
      <c r="P29" s="29">
        <v>2913</v>
      </c>
      <c r="Q29" s="29">
        <v>2886</v>
      </c>
      <c r="R29" s="30">
        <v>2921</v>
      </c>
      <c r="S29" s="119">
        <v>2869</v>
      </c>
      <c r="T29" s="119">
        <v>2875</v>
      </c>
      <c r="U29" s="29">
        <v>2874</v>
      </c>
      <c r="V29" s="29">
        <v>2880</v>
      </c>
      <c r="W29" s="30">
        <f>(S29*S25/W25)+(T29*T25/W25)+(U29*U25/W25)+(V29*V25/W25)</f>
        <v>2875.8698945090614</v>
      </c>
      <c r="X29" s="29">
        <v>2868</v>
      </c>
      <c r="Y29" s="29">
        <f>X29*(1+Y79)-Y82</f>
        <v>2871.9028918306749</v>
      </c>
      <c r="Z29" s="29">
        <f>Y29*(1+Z79)-Z82</f>
        <v>2872.053946997592</v>
      </c>
      <c r="AA29" s="29">
        <f>Z29*(1+AA79)-AA82</f>
        <v>2872.1779989098914</v>
      </c>
      <c r="AB29" s="114">
        <f>(X29*X25/AB25)+(Y29*Y25/AB25)+(Z29*Z25/AB25)+(AA29*AA25/AB25)</f>
        <v>2871.1426966829677</v>
      </c>
      <c r="AC29" s="29">
        <f>AA29*(1+AC79)-AC82</f>
        <v>2870.5114936745322</v>
      </c>
      <c r="AD29" s="29">
        <f>AC29*(1+AD79)-AD82</f>
        <v>2871.1394711552466</v>
      </c>
      <c r="AE29" s="29">
        <f>AD29*(1+AE79)-AE82</f>
        <v>2870.9478460764949</v>
      </c>
      <c r="AF29" s="29">
        <f>AE29*(1+AF79)-AF82</f>
        <v>2870.6705760017517</v>
      </c>
      <c r="AG29" s="114">
        <f>(AC29*AC25/AG25)+(AD29*AD25/AG25)+(AE29*AE25/AG25)+(AF29*AF25/AG25)</f>
        <v>2870.814196426963</v>
      </c>
    </row>
    <row r="30" spans="1:33" ht="15.75" customHeight="1" x14ac:dyDescent="0.3">
      <c r="A30" s="124"/>
      <c r="B30" s="195" t="s">
        <v>9</v>
      </c>
      <c r="C30" s="196"/>
      <c r="D30" s="43">
        <f t="shared" ref="D30:AG30" si="6">D25/D28</f>
        <v>0.53112908899050304</v>
      </c>
      <c r="E30" s="43">
        <f t="shared" si="6"/>
        <v>0.71953781512605042</v>
      </c>
      <c r="F30" s="43">
        <f t="shared" si="6"/>
        <v>0.82863113897596652</v>
      </c>
      <c r="G30" s="43">
        <f t="shared" si="6"/>
        <v>1.4826509368494101</v>
      </c>
      <c r="H30" s="44">
        <f t="shared" si="6"/>
        <v>3.5680112997384774</v>
      </c>
      <c r="I30" s="43">
        <f t="shared" si="6"/>
        <v>1.0598408855067452</v>
      </c>
      <c r="J30" s="43">
        <f t="shared" si="6"/>
        <v>1.3427586206896551</v>
      </c>
      <c r="K30" s="43">
        <f t="shared" si="6"/>
        <v>1.6208677685950412</v>
      </c>
      <c r="L30" s="43">
        <f t="shared" si="6"/>
        <v>1.4681802545579636</v>
      </c>
      <c r="M30" s="44">
        <f t="shared" si="6"/>
        <v>5.4922440537745603</v>
      </c>
      <c r="N30" s="43">
        <f t="shared" si="6"/>
        <v>1.7164487267721955</v>
      </c>
      <c r="O30" s="43">
        <f t="shared" si="6"/>
        <v>1.7637305699481864</v>
      </c>
      <c r="P30" s="43">
        <f t="shared" si="6"/>
        <v>1.7805892547660311</v>
      </c>
      <c r="Q30" s="43">
        <f t="shared" si="6"/>
        <v>2.3962395543175488</v>
      </c>
      <c r="R30" s="44">
        <f t="shared" si="6"/>
        <v>7.6515570934256054</v>
      </c>
      <c r="S30" s="122">
        <f t="shared" si="6"/>
        <v>0.85049019607843135</v>
      </c>
      <c r="T30" s="122">
        <f t="shared" si="6"/>
        <v>0.91628721541155866</v>
      </c>
      <c r="U30" s="43">
        <f t="shared" si="6"/>
        <v>2.1341976173791171</v>
      </c>
      <c r="V30" s="43">
        <f t="shared" si="6"/>
        <v>2.5749824807288015</v>
      </c>
      <c r="W30" s="44">
        <f t="shared" si="6"/>
        <v>6.4759571094228789</v>
      </c>
      <c r="X30" s="43">
        <f t="shared" si="6"/>
        <v>1.7193967029112591</v>
      </c>
      <c r="Y30" s="43">
        <f t="shared" si="6"/>
        <v>1.5134020341867838</v>
      </c>
      <c r="Z30" s="43">
        <f t="shared" si="6"/>
        <v>1.8228214943343786</v>
      </c>
      <c r="AA30" s="43">
        <f t="shared" si="6"/>
        <v>2.5038155109842979</v>
      </c>
      <c r="AB30" s="118">
        <f t="shared" si="6"/>
        <v>7.5594357341319851</v>
      </c>
      <c r="AC30" s="43">
        <f t="shared" si="6"/>
        <v>1.9724058256049706</v>
      </c>
      <c r="AD30" s="43">
        <f t="shared" si="6"/>
        <v>2.2290782919591234</v>
      </c>
      <c r="AE30" s="43">
        <f t="shared" si="6"/>
        <v>2.5495072345629159</v>
      </c>
      <c r="AF30" s="43">
        <f t="shared" si="6"/>
        <v>3.2639413644164734</v>
      </c>
      <c r="AG30" s="118">
        <f t="shared" si="6"/>
        <v>10.014932632091572</v>
      </c>
    </row>
    <row r="31" spans="1:33" x14ac:dyDescent="0.3">
      <c r="A31" s="124"/>
      <c r="B31" s="193" t="s">
        <v>10</v>
      </c>
      <c r="C31" s="194"/>
      <c r="D31" s="107">
        <f t="shared" ref="D31:AG31" si="7">D25/D29</f>
        <v>0.52285318559556782</v>
      </c>
      <c r="E31" s="107">
        <f t="shared" si="7"/>
        <v>0.7076446280991735</v>
      </c>
      <c r="F31" s="107">
        <f t="shared" si="7"/>
        <v>0.81612349914236704</v>
      </c>
      <c r="G31" s="107">
        <f t="shared" si="7"/>
        <v>1.4543907420013615</v>
      </c>
      <c r="H31" s="108">
        <f t="shared" si="7"/>
        <v>3.4929914529914532</v>
      </c>
      <c r="I31" s="107">
        <f t="shared" si="7"/>
        <v>1.0407608695652173</v>
      </c>
      <c r="J31" s="107">
        <f t="shared" si="7"/>
        <v>1.3195526940020332</v>
      </c>
      <c r="K31" s="107">
        <f t="shared" si="7"/>
        <v>1.5923545331529094</v>
      </c>
      <c r="L31" s="107">
        <f t="shared" si="7"/>
        <v>1.4448205822613405</v>
      </c>
      <c r="M31" s="108">
        <f t="shared" si="7"/>
        <v>5.3900541271989173</v>
      </c>
      <c r="N31" s="107">
        <f t="shared" si="7"/>
        <v>1.6937181663837011</v>
      </c>
      <c r="O31" s="107">
        <f t="shared" si="7"/>
        <v>1.7426621160409557</v>
      </c>
      <c r="P31" s="107">
        <f t="shared" si="7"/>
        <v>1.7634740817027119</v>
      </c>
      <c r="Q31" s="107">
        <f t="shared" si="7"/>
        <v>2.3846153846153846</v>
      </c>
      <c r="R31" s="108">
        <f t="shared" si="7"/>
        <v>7.5703526189661074</v>
      </c>
      <c r="S31" s="123">
        <f t="shared" si="7"/>
        <v>0.84663645869640991</v>
      </c>
      <c r="T31" s="123">
        <f t="shared" si="7"/>
        <v>0.90991304347826085</v>
      </c>
      <c r="U31" s="123">
        <f t="shared" si="7"/>
        <v>2.1193458594293668</v>
      </c>
      <c r="V31" s="123">
        <f t="shared" si="7"/>
        <v>2.551736111111111</v>
      </c>
      <c r="W31" s="144">
        <f t="shared" si="7"/>
        <v>6.4276203994115555</v>
      </c>
      <c r="X31" s="123">
        <f t="shared" si="7"/>
        <v>1.7092050209205021</v>
      </c>
      <c r="Y31" s="123">
        <f t="shared" si="7"/>
        <v>1.5024042974394118</v>
      </c>
      <c r="Z31" s="123">
        <f t="shared" si="7"/>
        <v>1.8094330303483737</v>
      </c>
      <c r="AA31" s="123">
        <f t="shared" si="7"/>
        <v>2.4851806318982841</v>
      </c>
      <c r="AB31" s="144">
        <f t="shared" si="7"/>
        <v>7.5062203220719583</v>
      </c>
      <c r="AC31" s="123">
        <f t="shared" si="7"/>
        <v>1.9585058995298654</v>
      </c>
      <c r="AD31" s="123">
        <f t="shared" si="7"/>
        <v>2.2127452647302501</v>
      </c>
      <c r="AE31" s="123">
        <f t="shared" si="7"/>
        <v>2.5307875171902401</v>
      </c>
      <c r="AF31" s="123">
        <f t="shared" si="7"/>
        <v>3.2399774558608816</v>
      </c>
      <c r="AG31" s="144">
        <f t="shared" si="7"/>
        <v>9.9420160735359904</v>
      </c>
    </row>
    <row r="32" spans="1:33" x14ac:dyDescent="0.3">
      <c r="B32" s="46"/>
      <c r="C32" s="113" t="s">
        <v>15</v>
      </c>
      <c r="D32" s="50"/>
      <c r="E32" s="50"/>
      <c r="F32" s="50"/>
      <c r="G32" s="50"/>
      <c r="H32" s="16"/>
      <c r="I32" s="50"/>
      <c r="J32" s="50"/>
      <c r="K32" s="50"/>
      <c r="L32" s="50"/>
      <c r="M32" s="16"/>
      <c r="N32" s="50"/>
      <c r="O32" s="50"/>
      <c r="P32" s="50"/>
      <c r="Q32" s="50"/>
      <c r="R32" s="16"/>
      <c r="S32" s="83"/>
      <c r="T32" s="142"/>
      <c r="U32" s="136"/>
      <c r="V32" s="136"/>
      <c r="W32" s="136"/>
      <c r="X32" s="136"/>
      <c r="Y32" s="136"/>
      <c r="Z32" s="50"/>
      <c r="AA32" s="136"/>
      <c r="AB32" s="16"/>
      <c r="AC32" s="50"/>
      <c r="AD32" s="50"/>
      <c r="AE32" s="50"/>
      <c r="AF32" s="136"/>
      <c r="AG32" s="16"/>
    </row>
    <row r="33" spans="1:33" ht="15.6" x14ac:dyDescent="0.3">
      <c r="A33" s="124"/>
      <c r="B33" s="181" t="s">
        <v>25</v>
      </c>
      <c r="C33" s="182"/>
      <c r="D33" s="26" t="s">
        <v>45</v>
      </c>
      <c r="E33" s="26" t="s">
        <v>46</v>
      </c>
      <c r="F33" s="26" t="s">
        <v>47</v>
      </c>
      <c r="G33" s="26" t="s">
        <v>48</v>
      </c>
      <c r="H33" s="79" t="s">
        <v>48</v>
      </c>
      <c r="I33" s="26" t="s">
        <v>32</v>
      </c>
      <c r="J33" s="26" t="s">
        <v>37</v>
      </c>
      <c r="K33" s="26" t="s">
        <v>38</v>
      </c>
      <c r="L33" s="26" t="s">
        <v>39</v>
      </c>
      <c r="M33" s="79" t="s">
        <v>39</v>
      </c>
      <c r="N33" s="26" t="s">
        <v>34</v>
      </c>
      <c r="O33" s="26" t="s">
        <v>33</v>
      </c>
      <c r="P33" s="26" t="s">
        <v>35</v>
      </c>
      <c r="Q33" s="26" t="s">
        <v>36</v>
      </c>
      <c r="R33" s="79" t="s">
        <v>36</v>
      </c>
      <c r="S33" s="26" t="s">
        <v>54</v>
      </c>
      <c r="T33" s="26" t="s">
        <v>55</v>
      </c>
      <c r="U33" s="26" t="s">
        <v>56</v>
      </c>
      <c r="V33" s="26" t="s">
        <v>57</v>
      </c>
      <c r="W33" s="79" t="s">
        <v>57</v>
      </c>
      <c r="X33" s="26" t="s">
        <v>58</v>
      </c>
      <c r="Y33" s="28" t="s">
        <v>59</v>
      </c>
      <c r="Z33" s="28" t="s">
        <v>60</v>
      </c>
      <c r="AA33" s="28" t="s">
        <v>61</v>
      </c>
      <c r="AB33" s="81" t="s">
        <v>61</v>
      </c>
      <c r="AC33" s="28" t="s">
        <v>62</v>
      </c>
      <c r="AD33" s="28" t="s">
        <v>63</v>
      </c>
      <c r="AE33" s="28" t="s">
        <v>64</v>
      </c>
      <c r="AF33" s="28" t="s">
        <v>65</v>
      </c>
      <c r="AG33" s="81" t="s">
        <v>65</v>
      </c>
    </row>
    <row r="34" spans="1:33" ht="16.2" x14ac:dyDescent="0.45">
      <c r="A34" s="124"/>
      <c r="B34" s="183"/>
      <c r="C34" s="184"/>
      <c r="D34" s="27" t="s">
        <v>49</v>
      </c>
      <c r="E34" s="27" t="s">
        <v>50</v>
      </c>
      <c r="F34" s="27" t="s">
        <v>51</v>
      </c>
      <c r="G34" s="27" t="s">
        <v>52</v>
      </c>
      <c r="H34" s="80" t="s">
        <v>53</v>
      </c>
      <c r="I34" s="27" t="s">
        <v>40</v>
      </c>
      <c r="J34" s="27" t="s">
        <v>41</v>
      </c>
      <c r="K34" s="27" t="s">
        <v>42</v>
      </c>
      <c r="L34" s="27" t="s">
        <v>43</v>
      </c>
      <c r="M34" s="80" t="s">
        <v>44</v>
      </c>
      <c r="N34" s="27" t="s">
        <v>31</v>
      </c>
      <c r="O34" s="27" t="s">
        <v>30</v>
      </c>
      <c r="P34" s="27" t="s">
        <v>29</v>
      </c>
      <c r="Q34" s="27" t="s">
        <v>28</v>
      </c>
      <c r="R34" s="80" t="s">
        <v>27</v>
      </c>
      <c r="S34" s="27" t="s">
        <v>119</v>
      </c>
      <c r="T34" s="27" t="s">
        <v>125</v>
      </c>
      <c r="U34" s="27" t="s">
        <v>126</v>
      </c>
      <c r="V34" s="27" t="s">
        <v>127</v>
      </c>
      <c r="W34" s="80" t="s">
        <v>128</v>
      </c>
      <c r="X34" s="27" t="s">
        <v>129</v>
      </c>
      <c r="Y34" s="25" t="s">
        <v>106</v>
      </c>
      <c r="Z34" s="25" t="s">
        <v>107</v>
      </c>
      <c r="AA34" s="25" t="s">
        <v>108</v>
      </c>
      <c r="AB34" s="82" t="s">
        <v>109</v>
      </c>
      <c r="AC34" s="25" t="s">
        <v>110</v>
      </c>
      <c r="AD34" s="25" t="s">
        <v>111</v>
      </c>
      <c r="AE34" s="25" t="s">
        <v>112</v>
      </c>
      <c r="AF34" s="25" t="s">
        <v>113</v>
      </c>
      <c r="AG34" s="82" t="s">
        <v>114</v>
      </c>
    </row>
    <row r="35" spans="1:33" ht="15.6" x14ac:dyDescent="0.3">
      <c r="A35" s="124"/>
      <c r="B35" s="181" t="s">
        <v>124</v>
      </c>
      <c r="C35" s="182"/>
      <c r="D35" s="26"/>
      <c r="E35" s="26"/>
      <c r="F35" s="26"/>
      <c r="G35" s="26"/>
      <c r="H35" s="79"/>
      <c r="I35" s="26"/>
      <c r="J35" s="26"/>
      <c r="K35" s="26"/>
      <c r="L35" s="26"/>
      <c r="M35" s="79"/>
      <c r="N35" s="26"/>
      <c r="O35" s="26"/>
      <c r="P35" s="26"/>
      <c r="Q35" s="26"/>
      <c r="R35" s="79"/>
      <c r="S35" s="26"/>
      <c r="T35" s="26"/>
      <c r="U35" s="26"/>
      <c r="V35" s="26"/>
      <c r="W35" s="79"/>
      <c r="X35" s="26"/>
      <c r="Y35" s="28"/>
      <c r="Z35" s="28"/>
      <c r="AA35" s="28"/>
      <c r="AB35" s="81"/>
      <c r="AC35" s="28"/>
      <c r="AD35" s="28"/>
      <c r="AE35" s="28"/>
      <c r="AF35" s="28"/>
      <c r="AG35" s="81"/>
    </row>
    <row r="36" spans="1:33" outlineLevel="1" x14ac:dyDescent="0.3">
      <c r="A36" s="124"/>
      <c r="B36" s="70" t="s">
        <v>75</v>
      </c>
      <c r="C36" s="71"/>
      <c r="D36" s="64">
        <v>2740</v>
      </c>
      <c r="E36" s="64">
        <v>3212</v>
      </c>
      <c r="F36" s="64">
        <v>3560</v>
      </c>
      <c r="G36" s="64">
        <v>4556</v>
      </c>
      <c r="H36" s="19"/>
      <c r="I36" s="64">
        <v>3968</v>
      </c>
      <c r="J36" s="64">
        <v>4556</v>
      </c>
      <c r="K36" s="64">
        <v>5033</v>
      </c>
      <c r="L36" s="64">
        <v>6392</v>
      </c>
      <c r="M36" s="19"/>
      <c r="N36" s="64">
        <v>5667</v>
      </c>
      <c r="O36" s="64">
        <v>6251</v>
      </c>
      <c r="P36" s="64">
        <v>6667</v>
      </c>
      <c r="Q36" s="64">
        <v>8433</v>
      </c>
      <c r="R36" s="19"/>
      <c r="S36" s="64">
        <v>7308</v>
      </c>
      <c r="T36" s="64">
        <v>8115</v>
      </c>
      <c r="U36" s="64">
        <v>8487</v>
      </c>
      <c r="V36" s="64">
        <v>10248</v>
      </c>
      <c r="W36" s="19"/>
      <c r="X36" s="64">
        <v>8562</v>
      </c>
      <c r="Y36" s="64">
        <f>+((Y42+X42)/2)*Y52</f>
        <v>8332.2666765375798</v>
      </c>
      <c r="Z36" s="64">
        <f>+((Z42+Y42)/2)*Z52</f>
        <v>9174.0809175961404</v>
      </c>
      <c r="AA36" s="64">
        <f>+((AA42+Z42)/2)*AA52</f>
        <v>11476.848847276646</v>
      </c>
      <c r="AB36" s="19"/>
      <c r="AC36" s="64">
        <f>+((AC42+AA42)/2)*AC52</f>
        <v>10127.893196627194</v>
      </c>
      <c r="AD36" s="64">
        <f>+((AD42+AC42)/2)*AD52</f>
        <v>10051.832784176673</v>
      </c>
      <c r="AE36" s="64">
        <f>+((AE42+AD42)/2)*AE52</f>
        <v>11508.807853938097</v>
      </c>
      <c r="AF36" s="64">
        <f>+((AF42+AE42)/2)*AF52</f>
        <v>14958.255550781609</v>
      </c>
      <c r="AG36" s="19"/>
    </row>
    <row r="37" spans="1:33" outlineLevel="1" x14ac:dyDescent="0.3">
      <c r="A37" s="124"/>
      <c r="B37" s="70" t="s">
        <v>76</v>
      </c>
      <c r="C37" s="71"/>
      <c r="D37" s="64">
        <v>1307</v>
      </c>
      <c r="E37" s="64">
        <v>1585</v>
      </c>
      <c r="F37" s="64">
        <v>1605</v>
      </c>
      <c r="G37" s="64">
        <v>2065</v>
      </c>
      <c r="H37" s="19"/>
      <c r="I37" s="64">
        <v>1905</v>
      </c>
      <c r="J37" s="64">
        <v>2242</v>
      </c>
      <c r="K37" s="64">
        <v>2481</v>
      </c>
      <c r="L37" s="64">
        <v>3250</v>
      </c>
      <c r="M37" s="19"/>
      <c r="N37" s="64">
        <v>3036</v>
      </c>
      <c r="O37" s="64">
        <v>3302</v>
      </c>
      <c r="P37" s="64">
        <v>3313</v>
      </c>
      <c r="Q37" s="64">
        <v>4151</v>
      </c>
      <c r="R37" s="19"/>
      <c r="S37" s="64">
        <v>3650</v>
      </c>
      <c r="T37" s="64">
        <v>4109</v>
      </c>
      <c r="U37" s="64">
        <v>4124</v>
      </c>
      <c r="V37" s="64">
        <v>5159</v>
      </c>
      <c r="W37" s="19"/>
      <c r="X37" s="64">
        <v>4254</v>
      </c>
      <c r="Y37" s="64">
        <f>+((Y44+X44)/2)*Y54</f>
        <v>4187.1958986230429</v>
      </c>
      <c r="Z37" s="64">
        <f>+((Z44+Y44)/2)*Z54</f>
        <v>4431.2681161776118</v>
      </c>
      <c r="AA37" s="64">
        <f>+((AA44+Z44)/2)*AA54</f>
        <v>5669.8968074737086</v>
      </c>
      <c r="AB37" s="19"/>
      <c r="AC37" s="64">
        <f>+((AC44+AA44)/2)*AC54</f>
        <v>5006.9242334940927</v>
      </c>
      <c r="AD37" s="64">
        <f>+((AD44+AC44)/2)*AD54</f>
        <v>5027.9449722025993</v>
      </c>
      <c r="AE37" s="64">
        <f>+((AE44+AD44)/2)*AE54</f>
        <v>5545.1220279539439</v>
      </c>
      <c r="AF37" s="64">
        <f>+((AF44+AE44)/2)*AF54</f>
        <v>7226.1376368565952</v>
      </c>
      <c r="AG37" s="19"/>
    </row>
    <row r="38" spans="1:33" outlineLevel="1" x14ac:dyDescent="0.3">
      <c r="A38" s="124"/>
      <c r="B38" s="70" t="s">
        <v>77</v>
      </c>
      <c r="C38" s="74"/>
      <c r="D38" s="64">
        <v>862</v>
      </c>
      <c r="E38" s="64">
        <v>1025</v>
      </c>
      <c r="F38" s="64">
        <v>1154</v>
      </c>
      <c r="G38" s="64">
        <v>1349</v>
      </c>
      <c r="H38" s="19"/>
      <c r="I38" s="64">
        <v>1375</v>
      </c>
      <c r="J38" s="64">
        <v>1569</v>
      </c>
      <c r="K38" s="64">
        <v>1760</v>
      </c>
      <c r="L38" s="64">
        <v>2059</v>
      </c>
      <c r="M38" s="19"/>
      <c r="N38" s="64">
        <v>2091</v>
      </c>
      <c r="O38" s="64">
        <v>2316</v>
      </c>
      <c r="P38" s="64">
        <v>2422</v>
      </c>
      <c r="Q38" s="64">
        <v>2759</v>
      </c>
      <c r="R38" s="19"/>
      <c r="S38" s="64">
        <v>2682</v>
      </c>
      <c r="T38" s="64">
        <v>3012</v>
      </c>
      <c r="U38" s="64">
        <v>3267</v>
      </c>
      <c r="V38" s="64">
        <v>3665</v>
      </c>
      <c r="W38" s="19"/>
      <c r="X38" s="64">
        <v>3257</v>
      </c>
      <c r="Y38" s="64">
        <f>+((Y46+X46)/2)*Y56</f>
        <v>3237.7170722748419</v>
      </c>
      <c r="Z38" s="64">
        <f>+((Z46+Y46)/2)*Z56</f>
        <v>3733.6135116801852</v>
      </c>
      <c r="AA38" s="64">
        <f>+((AA46+Z46)/2)*AA56</f>
        <v>4259.3582876755218</v>
      </c>
      <c r="AB38" s="19"/>
      <c r="AC38" s="64">
        <f>+((AC46+AA46)/2)*AC56</f>
        <v>4069.859918466429</v>
      </c>
      <c r="AD38" s="64">
        <f>+((AD46+AC46)/2)*AD56</f>
        <v>4137.054298003306</v>
      </c>
      <c r="AE38" s="64">
        <f>+((AE46+AD46)/2)*AE56</f>
        <v>4958.4828345638207</v>
      </c>
      <c r="AF38" s="64">
        <f>+((AF46+AE46)/2)*AF56</f>
        <v>5852.4791258891773</v>
      </c>
      <c r="AG38" s="19"/>
    </row>
    <row r="39" spans="1:33" ht="16.2" outlineLevel="1" x14ac:dyDescent="0.45">
      <c r="A39" s="124"/>
      <c r="B39" s="70" t="s">
        <v>78</v>
      </c>
      <c r="C39" s="71"/>
      <c r="D39" s="99">
        <v>473</v>
      </c>
      <c r="E39" s="99">
        <v>614</v>
      </c>
      <c r="F39" s="99">
        <v>692</v>
      </c>
      <c r="G39" s="99">
        <v>839</v>
      </c>
      <c r="H39" s="19"/>
      <c r="I39" s="99">
        <v>784</v>
      </c>
      <c r="J39" s="99">
        <v>954</v>
      </c>
      <c r="K39" s="99">
        <v>1054</v>
      </c>
      <c r="L39" s="99">
        <v>1271</v>
      </c>
      <c r="M39" s="19"/>
      <c r="N39" s="99">
        <v>1172</v>
      </c>
      <c r="O39" s="99">
        <v>1362</v>
      </c>
      <c r="P39" s="99">
        <v>1325</v>
      </c>
      <c r="Q39" s="99">
        <v>1571</v>
      </c>
      <c r="R39" s="19"/>
      <c r="S39" s="99">
        <v>1437</v>
      </c>
      <c r="T39" s="99">
        <v>1650</v>
      </c>
      <c r="U39" s="99">
        <v>1774</v>
      </c>
      <c r="V39" s="99">
        <v>2010</v>
      </c>
      <c r="W39" s="19"/>
      <c r="X39" s="99">
        <v>1664</v>
      </c>
      <c r="Y39" s="99">
        <f>+((Y48+X48)/2)*Y58</f>
        <v>1776.1014564967479</v>
      </c>
      <c r="Z39" s="99">
        <f>+((Z48+Y48)/2)*Z58</f>
        <v>1996.9293243626016</v>
      </c>
      <c r="AA39" s="99">
        <f>+((AA48+Z48)/2)*AA58</f>
        <v>2286.8461006632151</v>
      </c>
      <c r="AB39" s="19"/>
      <c r="AC39" s="99">
        <f>+((AC48+AA48)/2)*AC58</f>
        <v>2030.1638390681692</v>
      </c>
      <c r="AD39" s="99">
        <f>+((AD48+AC48)/2)*AD58</f>
        <v>2230.2115976552259</v>
      </c>
      <c r="AE39" s="99">
        <f>+((AE48+AD48)/2)*AE58</f>
        <v>2607.2469042153921</v>
      </c>
      <c r="AF39" s="99">
        <f>+((AF48+AE48)/2)*AF58</f>
        <v>3087.9780501948626</v>
      </c>
      <c r="AG39" s="19"/>
    </row>
    <row r="40" spans="1:33" s="92" customFormat="1" outlineLevel="1" x14ac:dyDescent="0.3">
      <c r="A40" s="125"/>
      <c r="B40" s="90" t="s">
        <v>20</v>
      </c>
      <c r="C40" s="72"/>
      <c r="D40" s="100">
        <f>SUM(D36:D39)</f>
        <v>5382</v>
      </c>
      <c r="E40" s="100">
        <f>SUM(E36:E39)</f>
        <v>6436</v>
      </c>
      <c r="F40" s="100">
        <f>SUM(F36:F39)</f>
        <v>7011</v>
      </c>
      <c r="G40" s="100">
        <f>SUM(G36:G39)</f>
        <v>8809</v>
      </c>
      <c r="H40" s="91"/>
      <c r="I40" s="100">
        <f>SUM(I36:I39)</f>
        <v>8032</v>
      </c>
      <c r="J40" s="100">
        <f>SUM(J36:J39)</f>
        <v>9321</v>
      </c>
      <c r="K40" s="100">
        <f>SUM(K36:K39)</f>
        <v>10328</v>
      </c>
      <c r="L40" s="100">
        <f>SUM(L36:L39)</f>
        <v>12972</v>
      </c>
      <c r="M40" s="91"/>
      <c r="N40" s="100">
        <f>SUM(N36:N39)</f>
        <v>11966</v>
      </c>
      <c r="O40" s="100">
        <f>SUM(O36:O39)</f>
        <v>13231</v>
      </c>
      <c r="P40" s="100">
        <f>SUM(P36:P39)</f>
        <v>13727</v>
      </c>
      <c r="Q40" s="100">
        <f>SUM(Q36:Q39)</f>
        <v>16914</v>
      </c>
      <c r="R40" s="91"/>
      <c r="S40" s="100">
        <f>SUM(S36:S39)</f>
        <v>15077</v>
      </c>
      <c r="T40" s="100">
        <f>SUM(T36:T39)</f>
        <v>16886</v>
      </c>
      <c r="U40" s="100">
        <f>SUM(U36:U39)</f>
        <v>17652</v>
      </c>
      <c r="V40" s="100">
        <f>SUM(V36:V39)</f>
        <v>21082</v>
      </c>
      <c r="W40" s="91"/>
      <c r="X40" s="100">
        <f>SUM(X36:X39)</f>
        <v>17737</v>
      </c>
      <c r="Y40" s="100">
        <f>SUM(Y36:Y39)</f>
        <v>17533.281103932211</v>
      </c>
      <c r="Z40" s="100">
        <f>SUM(Z36:Z39)</f>
        <v>19335.89186981654</v>
      </c>
      <c r="AA40" s="100">
        <f>SUM(AA36:AA39)</f>
        <v>23692.950043089091</v>
      </c>
      <c r="AB40" s="91"/>
      <c r="AC40" s="100">
        <f>SUM(AC36:AC39)</f>
        <v>21234.841187655882</v>
      </c>
      <c r="AD40" s="100">
        <f>SUM(AD36:AD39)</f>
        <v>21447.043652037806</v>
      </c>
      <c r="AE40" s="100">
        <f>SUM(AE36:AE39)</f>
        <v>24619.659620671253</v>
      </c>
      <c r="AF40" s="100">
        <f>SUM(AF36:AF39)</f>
        <v>31124.850363722246</v>
      </c>
      <c r="AG40" s="91"/>
    </row>
    <row r="41" spans="1:33" ht="17.399999999999999" x14ac:dyDescent="0.45">
      <c r="A41" s="124"/>
      <c r="B41" s="198" t="s">
        <v>86</v>
      </c>
      <c r="C41" s="199"/>
      <c r="D41" s="27" t="s">
        <v>49</v>
      </c>
      <c r="E41" s="27" t="s">
        <v>50</v>
      </c>
      <c r="F41" s="27" t="s">
        <v>51</v>
      </c>
      <c r="G41" s="27" t="s">
        <v>52</v>
      </c>
      <c r="H41" s="80" t="s">
        <v>53</v>
      </c>
      <c r="I41" s="27" t="s">
        <v>40</v>
      </c>
      <c r="J41" s="27" t="s">
        <v>41</v>
      </c>
      <c r="K41" s="27" t="s">
        <v>42</v>
      </c>
      <c r="L41" s="27" t="s">
        <v>43</v>
      </c>
      <c r="M41" s="80" t="s">
        <v>44</v>
      </c>
      <c r="N41" s="27" t="s">
        <v>31</v>
      </c>
      <c r="O41" s="27" t="s">
        <v>30</v>
      </c>
      <c r="P41" s="27" t="s">
        <v>29</v>
      </c>
      <c r="Q41" s="27" t="s">
        <v>28</v>
      </c>
      <c r="R41" s="80" t="s">
        <v>27</v>
      </c>
      <c r="S41" s="27" t="s">
        <v>119</v>
      </c>
      <c r="T41" s="27" t="s">
        <v>125</v>
      </c>
      <c r="U41" s="27" t="s">
        <v>126</v>
      </c>
      <c r="V41" s="27" t="s">
        <v>127</v>
      </c>
      <c r="W41" s="80" t="s">
        <v>128</v>
      </c>
      <c r="X41" s="27" t="s">
        <v>129</v>
      </c>
      <c r="Y41" s="25" t="s">
        <v>106</v>
      </c>
      <c r="Z41" s="25" t="s">
        <v>107</v>
      </c>
      <c r="AA41" s="25" t="s">
        <v>108</v>
      </c>
      <c r="AB41" s="82" t="s">
        <v>109</v>
      </c>
      <c r="AC41" s="25" t="s">
        <v>110</v>
      </c>
      <c r="AD41" s="25" t="s">
        <v>111</v>
      </c>
      <c r="AE41" s="25" t="s">
        <v>112</v>
      </c>
      <c r="AF41" s="25" t="s">
        <v>113</v>
      </c>
      <c r="AG41" s="82" t="s">
        <v>114</v>
      </c>
    </row>
    <row r="42" spans="1:33" ht="15.6" outlineLevel="1" x14ac:dyDescent="0.3">
      <c r="A42" s="124"/>
      <c r="B42" s="70" t="s">
        <v>115</v>
      </c>
      <c r="C42" s="93"/>
      <c r="D42" s="29">
        <v>222</v>
      </c>
      <c r="E42" s="29">
        <v>226</v>
      </c>
      <c r="F42" s="29">
        <v>229</v>
      </c>
      <c r="G42" s="29">
        <v>231</v>
      </c>
      <c r="H42" s="49"/>
      <c r="I42" s="29">
        <v>234</v>
      </c>
      <c r="J42" s="29">
        <v>236</v>
      </c>
      <c r="K42" s="29">
        <v>239</v>
      </c>
      <c r="L42" s="29">
        <v>239</v>
      </c>
      <c r="M42" s="19"/>
      <c r="N42" s="29">
        <v>241</v>
      </c>
      <c r="O42" s="29">
        <v>241</v>
      </c>
      <c r="P42" s="29">
        <v>242</v>
      </c>
      <c r="Q42" s="29">
        <v>242</v>
      </c>
      <c r="R42" s="19"/>
      <c r="S42" s="29">
        <v>243</v>
      </c>
      <c r="T42" s="29">
        <v>244</v>
      </c>
      <c r="U42" s="29">
        <v>247</v>
      </c>
      <c r="V42" s="29">
        <v>248</v>
      </c>
      <c r="W42" s="19"/>
      <c r="X42" s="29">
        <v>253</v>
      </c>
      <c r="Y42" s="29">
        <f>T42*(1+Y43)</f>
        <v>254.92235143815597</v>
      </c>
      <c r="Z42" s="29">
        <f>U42*(1+Z43)</f>
        <v>252.64213110628336</v>
      </c>
      <c r="AA42" s="29">
        <f>V42*(1+AA43)</f>
        <v>253.80022544238929</v>
      </c>
      <c r="AB42" s="19"/>
      <c r="AC42" s="29">
        <f>X42*(1+AC43)</f>
        <v>259.33427502115535</v>
      </c>
      <c r="AD42" s="29">
        <f>Y42*(1+AD43)</f>
        <v>259.76785414970522</v>
      </c>
      <c r="AE42" s="29">
        <f>Z42*(1+AE43)</f>
        <v>258.3439520805112</v>
      </c>
      <c r="AF42" s="29">
        <f>AA42*(1+AF43)</f>
        <v>259.51080606403485</v>
      </c>
      <c r="AG42" s="19"/>
    </row>
    <row r="43" spans="1:33" ht="15.6" outlineLevel="1" x14ac:dyDescent="0.3">
      <c r="A43" s="124"/>
      <c r="B43" s="47" t="s">
        <v>82</v>
      </c>
      <c r="C43" s="93"/>
      <c r="D43" s="29"/>
      <c r="E43" s="29"/>
      <c r="F43" s="29"/>
      <c r="G43" s="29"/>
      <c r="H43" s="49"/>
      <c r="I43" s="55">
        <f>+I42/D42-1</f>
        <v>5.4054054054053946E-2</v>
      </c>
      <c r="J43" s="55">
        <f>+J42/E42-1</f>
        <v>4.4247787610619538E-2</v>
      </c>
      <c r="K43" s="55">
        <f>+K42/F42-1</f>
        <v>4.366812227074246E-2</v>
      </c>
      <c r="L43" s="55">
        <f>+L42/G42-1</f>
        <v>3.463203463203457E-2</v>
      </c>
      <c r="M43" s="19"/>
      <c r="N43" s="55">
        <f>+N42/I42-1</f>
        <v>2.9914529914529808E-2</v>
      </c>
      <c r="O43" s="55">
        <f>+O42/J42-1</f>
        <v>2.1186440677966045E-2</v>
      </c>
      <c r="P43" s="55">
        <f>+P42/K42-1</f>
        <v>1.2552301255230214E-2</v>
      </c>
      <c r="Q43" s="55">
        <f>+Q42/L42-1</f>
        <v>1.2552301255230214E-2</v>
      </c>
      <c r="R43" s="19"/>
      <c r="S43" s="126">
        <f>+S42/N42-1</f>
        <v>8.2987551867219622E-3</v>
      </c>
      <c r="T43" s="55">
        <f>+T42/O42-1</f>
        <v>1.2448132780082943E-2</v>
      </c>
      <c r="U43" s="55">
        <f>+U42/P42-1</f>
        <v>2.0661157024793431E-2</v>
      </c>
      <c r="V43" s="55">
        <f>+V42/Q42-1</f>
        <v>2.4793388429751984E-2</v>
      </c>
      <c r="W43" s="19"/>
      <c r="X43" s="126">
        <f>+X42/S42-1</f>
        <v>4.1152263374485631E-2</v>
      </c>
      <c r="Y43" s="59">
        <f>AVERAGE(T43,U43,V43,X43)+2%</f>
        <v>4.4763735402278501E-2</v>
      </c>
      <c r="Z43" s="59">
        <f>AVERAGE(U43,V43,X43,Y43)-1%</f>
        <v>2.2842636057827388E-2</v>
      </c>
      <c r="AA43" s="59">
        <f>AVERAGE(V43,X43,Y43,Z43)-1%</f>
        <v>2.3388005816085876E-2</v>
      </c>
      <c r="AB43" s="19"/>
      <c r="AC43" s="60">
        <f>AVERAGE(X43,Y43,Z43,AA43)-0.8%</f>
        <v>2.5036660162669352E-2</v>
      </c>
      <c r="AD43" s="173">
        <f>AVERAGE(Y43,Z43,AA43,AC43)-1%</f>
        <v>1.9007759359715284E-2</v>
      </c>
      <c r="AE43" s="173">
        <f>AVERAGE(Z43,AA43,AC43,AD43)</f>
        <v>2.2568765349074475E-2</v>
      </c>
      <c r="AF43" s="173">
        <f>AVERAGE(AA43,AC43,AD43,AE43)</f>
        <v>2.250029767188625E-2</v>
      </c>
      <c r="AG43" s="19"/>
    </row>
    <row r="44" spans="1:33" outlineLevel="1" x14ac:dyDescent="0.3">
      <c r="A44" s="124"/>
      <c r="B44" s="56" t="s">
        <v>117</v>
      </c>
      <c r="C44" s="94"/>
      <c r="D44" s="29">
        <v>333</v>
      </c>
      <c r="E44" s="29">
        <v>338</v>
      </c>
      <c r="F44" s="29">
        <v>342</v>
      </c>
      <c r="G44" s="29">
        <v>349</v>
      </c>
      <c r="H44" s="19"/>
      <c r="I44" s="29">
        <v>354</v>
      </c>
      <c r="J44" s="29">
        <v>360</v>
      </c>
      <c r="K44" s="29">
        <v>364</v>
      </c>
      <c r="L44" s="29">
        <v>370</v>
      </c>
      <c r="M44" s="19"/>
      <c r="N44" s="29">
        <v>377</v>
      </c>
      <c r="O44" s="29">
        <v>376</v>
      </c>
      <c r="P44" s="29">
        <v>375</v>
      </c>
      <c r="Q44" s="29">
        <v>381</v>
      </c>
      <c r="R44" s="19"/>
      <c r="S44" s="119">
        <v>384</v>
      </c>
      <c r="T44" s="29">
        <v>385</v>
      </c>
      <c r="U44" s="29">
        <v>387</v>
      </c>
      <c r="V44" s="29">
        <v>394</v>
      </c>
      <c r="W44" s="19"/>
      <c r="X44" s="29">
        <v>406</v>
      </c>
      <c r="Y44" s="29">
        <f>T44*(1+Y45)</f>
        <v>403.03230003455354</v>
      </c>
      <c r="Z44" s="29">
        <f>U44*(1+Z45)</f>
        <v>399.60164343247402</v>
      </c>
      <c r="AA44" s="29">
        <f>V44*(1+AA45)</f>
        <v>402.94497516923377</v>
      </c>
      <c r="AB44" s="19"/>
      <c r="AC44" s="29">
        <f>X44*(1+AC45)</f>
        <v>418.11850910831174</v>
      </c>
      <c r="AD44" s="29">
        <f>Y44*(1+AD45)</f>
        <v>416.32743446693979</v>
      </c>
      <c r="AE44" s="29">
        <f>Z44*(1+AE45)</f>
        <v>411.40004953583218</v>
      </c>
      <c r="AF44" s="29">
        <f>AA44*(1+AF45)</f>
        <v>414.53616192026459</v>
      </c>
      <c r="AG44" s="19"/>
    </row>
    <row r="45" spans="1:33" outlineLevel="1" x14ac:dyDescent="0.3">
      <c r="A45" s="124"/>
      <c r="B45" s="47" t="s">
        <v>83</v>
      </c>
      <c r="C45" s="94"/>
      <c r="D45" s="29"/>
      <c r="E45" s="29"/>
      <c r="F45" s="29"/>
      <c r="G45" s="29"/>
      <c r="H45" s="19"/>
      <c r="I45" s="55">
        <f>+I44/D44-1</f>
        <v>6.3063063063063085E-2</v>
      </c>
      <c r="J45" s="55">
        <f>+J44/E44-1</f>
        <v>6.5088757396449815E-2</v>
      </c>
      <c r="K45" s="55">
        <f>+K44/F44-1</f>
        <v>6.4327485380117011E-2</v>
      </c>
      <c r="L45" s="55">
        <f>+L44/G44-1</f>
        <v>6.0171919770773741E-2</v>
      </c>
      <c r="M45" s="19"/>
      <c r="N45" s="55">
        <f>+N44/I44-1</f>
        <v>6.4971751412429279E-2</v>
      </c>
      <c r="O45" s="55">
        <f>+O44/J44-1</f>
        <v>4.4444444444444509E-2</v>
      </c>
      <c r="P45" s="55">
        <f>+P44/K44-1</f>
        <v>3.0219780219780112E-2</v>
      </c>
      <c r="Q45" s="55">
        <f>+Q44/L44-1</f>
        <v>2.9729729729729648E-2</v>
      </c>
      <c r="R45" s="19"/>
      <c r="S45" s="126">
        <f>+S44/N44-1</f>
        <v>1.8567639257294433E-2</v>
      </c>
      <c r="T45" s="55">
        <f>+T44/O44-1</f>
        <v>2.3936170212766061E-2</v>
      </c>
      <c r="U45" s="55">
        <f>+U44/P44-1</f>
        <v>3.2000000000000028E-2</v>
      </c>
      <c r="V45" s="55">
        <f>+V44/Q44-1</f>
        <v>3.4120734908136496E-2</v>
      </c>
      <c r="W45" s="19"/>
      <c r="X45" s="126">
        <f>+X44/S44-1</f>
        <v>5.7291666666666741E-2</v>
      </c>
      <c r="Y45" s="59">
        <f>AVERAGE(T45,U45,V45,X45)+1%</f>
        <v>4.6837142946892334E-2</v>
      </c>
      <c r="Z45" s="59">
        <f>AVERAGE(U45,V45,X45,Y45)-1%</f>
        <v>3.25623861304239E-2</v>
      </c>
      <c r="AA45" s="59">
        <f>AVERAGE(V45,X45,Y45,Z45)-2%</f>
        <v>2.2702982663029867E-2</v>
      </c>
      <c r="AB45" s="19"/>
      <c r="AC45" s="59">
        <f>AVERAGE(X45,Y45,Z45,AA45)-1%</f>
        <v>2.9848544601753207E-2</v>
      </c>
      <c r="AD45" s="59">
        <f>AVERAGE(Y45,Z45,AA45,AC45)</f>
        <v>3.2987764085524826E-2</v>
      </c>
      <c r="AE45" s="59">
        <f>AVERAGE(Z45,AA45,AC45,AD45)</f>
        <v>2.9525419370182951E-2</v>
      </c>
      <c r="AF45" s="59">
        <f>AVERAGE(AA45,AC45,AD45,AE45)</f>
        <v>2.8766177680122712E-2</v>
      </c>
      <c r="AG45" s="19"/>
    </row>
    <row r="46" spans="1:33" outlineLevel="1" x14ac:dyDescent="0.3">
      <c r="A46" s="124"/>
      <c r="B46" s="56" t="s">
        <v>79</v>
      </c>
      <c r="C46" s="94"/>
      <c r="D46" s="29">
        <v>566</v>
      </c>
      <c r="E46" s="29">
        <v>592</v>
      </c>
      <c r="F46" s="29">
        <v>629</v>
      </c>
      <c r="G46" s="29">
        <v>673.4</v>
      </c>
      <c r="H46" s="22"/>
      <c r="I46" s="29">
        <v>716</v>
      </c>
      <c r="J46" s="29">
        <v>756</v>
      </c>
      <c r="K46" s="29">
        <v>794</v>
      </c>
      <c r="L46" s="29">
        <v>828</v>
      </c>
      <c r="M46" s="22"/>
      <c r="N46" s="29">
        <v>873</v>
      </c>
      <c r="O46" s="29">
        <v>894</v>
      </c>
      <c r="P46" s="29">
        <v>917</v>
      </c>
      <c r="Q46" s="29">
        <v>947</v>
      </c>
      <c r="R46" s="22"/>
      <c r="S46" s="119">
        <v>981</v>
      </c>
      <c r="T46" s="29">
        <v>1003</v>
      </c>
      <c r="U46" s="29">
        <v>1013</v>
      </c>
      <c r="V46" s="29">
        <v>1038.4000000000001</v>
      </c>
      <c r="W46" s="24"/>
      <c r="X46" s="29">
        <v>1093</v>
      </c>
      <c r="Y46" s="29">
        <f>T46*(1+Y47)</f>
        <v>1102.6223902215875</v>
      </c>
      <c r="Z46" s="29">
        <f>U46*(1+Z47)</f>
        <v>1107.8923058526525</v>
      </c>
      <c r="AA46" s="29">
        <f>V46*(1+AA47)</f>
        <v>1122.4282315223936</v>
      </c>
      <c r="AB46" s="22"/>
      <c r="AC46" s="29">
        <f>X46*(1+AC47)</f>
        <v>1199.0453299178944</v>
      </c>
      <c r="AD46" s="29">
        <f>Y46*(1+AD47)</f>
        <v>1204.8746519663064</v>
      </c>
      <c r="AE46" s="29">
        <f>Z46*(1+AE47)</f>
        <v>1208.8083291613937</v>
      </c>
      <c r="AF46" s="29">
        <f>AA46*(1+AF47)</f>
        <v>1223.9425903597064</v>
      </c>
      <c r="AG46" s="22"/>
    </row>
    <row r="47" spans="1:33" outlineLevel="1" x14ac:dyDescent="0.3">
      <c r="A47" s="124"/>
      <c r="B47" s="47" t="s">
        <v>84</v>
      </c>
      <c r="C47" s="94"/>
      <c r="D47" s="29"/>
      <c r="E47" s="29"/>
      <c r="F47" s="29"/>
      <c r="G47" s="29"/>
      <c r="H47" s="22"/>
      <c r="I47" s="55">
        <f>+I46/D46-1</f>
        <v>0.26501766784452307</v>
      </c>
      <c r="J47" s="55">
        <f>+J46/E46-1</f>
        <v>0.27702702702702697</v>
      </c>
      <c r="K47" s="55">
        <f>+K46/F46-1</f>
        <v>0.26232114467408585</v>
      </c>
      <c r="L47" s="55">
        <f>+L46/G46-1</f>
        <v>0.22958122958122962</v>
      </c>
      <c r="M47" s="22"/>
      <c r="N47" s="55">
        <f>+N46/I46-1</f>
        <v>0.21927374301675973</v>
      </c>
      <c r="O47" s="55">
        <f>+O46/J46-1</f>
        <v>0.18253968253968256</v>
      </c>
      <c r="P47" s="55">
        <f>+P46/K46-1</f>
        <v>0.15491183879093207</v>
      </c>
      <c r="Q47" s="55">
        <f>+Q46/L46-1</f>
        <v>0.143719806763285</v>
      </c>
      <c r="R47" s="22"/>
      <c r="S47" s="126">
        <f>+S46/N46-1</f>
        <v>0.12371134020618557</v>
      </c>
      <c r="T47" s="55">
        <f>+T46/O46-1</f>
        <v>0.12192393736017904</v>
      </c>
      <c r="U47" s="55">
        <f>+U46/P46-1</f>
        <v>0.10468920392584513</v>
      </c>
      <c r="V47" s="55">
        <f>+V46/Q46-1</f>
        <v>9.6515311510031676E-2</v>
      </c>
      <c r="W47" s="24"/>
      <c r="X47" s="126">
        <f>+X46/S46-1</f>
        <v>0.11416921508664624</v>
      </c>
      <c r="Y47" s="59">
        <f>AVERAGE(T47,U47,V47,X47)-1%</f>
        <v>9.9324416970675525E-2</v>
      </c>
      <c r="Z47" s="59">
        <f>AVERAGE(U47,V47,X47,Y47)-1%</f>
        <v>9.3674536873299644E-2</v>
      </c>
      <c r="AA47" s="59">
        <f>AVERAGE(V47,X47,Y47,Z47)-2%</f>
        <v>8.0920870110163259E-2</v>
      </c>
      <c r="AB47" s="19"/>
      <c r="AC47" s="59">
        <f>AVERAGE(X47,Y47,Z47,AA47)</f>
        <v>9.7022259760196156E-2</v>
      </c>
      <c r="AD47" s="59">
        <f>AVERAGE(Y47,Z47,AA47,AC47)</f>
        <v>9.2735520928583642E-2</v>
      </c>
      <c r="AE47" s="59">
        <f>AVERAGE(Z47,AA47,AC47,AD47)</f>
        <v>9.1088296918060668E-2</v>
      </c>
      <c r="AF47" s="59">
        <f>AVERAGE(AA47,AC47,AD47,AE47)</f>
        <v>9.0441736929250921E-2</v>
      </c>
      <c r="AG47" s="19"/>
    </row>
    <row r="48" spans="1:33" outlineLevel="1" x14ac:dyDescent="0.3">
      <c r="A48" s="124"/>
      <c r="B48" s="56" t="s">
        <v>80</v>
      </c>
      <c r="C48" s="94"/>
      <c r="D48" s="29">
        <v>533</v>
      </c>
      <c r="E48" s="29">
        <v>556</v>
      </c>
      <c r="F48" s="29">
        <v>587</v>
      </c>
      <c r="G48" s="29">
        <v>606.4</v>
      </c>
      <c r="H48" s="19"/>
      <c r="I48" s="29">
        <v>632</v>
      </c>
      <c r="J48" s="29">
        <v>654</v>
      </c>
      <c r="K48" s="29">
        <v>675</v>
      </c>
      <c r="L48" s="29">
        <v>692</v>
      </c>
      <c r="M48" s="19"/>
      <c r="N48" s="29">
        <v>705</v>
      </c>
      <c r="O48" s="29">
        <v>723</v>
      </c>
      <c r="P48" s="29">
        <v>736</v>
      </c>
      <c r="Q48" s="29">
        <v>750</v>
      </c>
      <c r="R48" s="19"/>
      <c r="S48" s="119">
        <v>768</v>
      </c>
      <c r="T48" s="29">
        <v>782</v>
      </c>
      <c r="U48" s="29">
        <v>802</v>
      </c>
      <c r="V48" s="29">
        <v>817.4</v>
      </c>
      <c r="W48" s="19"/>
      <c r="X48" s="29">
        <v>851</v>
      </c>
      <c r="Y48" s="29">
        <f>T48*(1+Y49)</f>
        <v>862.00210382520754</v>
      </c>
      <c r="Z48" s="29">
        <f>U48*(1+Z49)</f>
        <v>872.15855438282699</v>
      </c>
      <c r="AA48" s="29">
        <f>V48*(1+AA49)</f>
        <v>888.45730911227531</v>
      </c>
      <c r="AB48" s="19"/>
      <c r="AC48" s="29">
        <f>X48*(1+AC49)</f>
        <v>924.35360041780791</v>
      </c>
      <c r="AD48" s="29">
        <f>Y48*(1+AD49)</f>
        <v>940.20978967890414</v>
      </c>
      <c r="AE48" s="29">
        <f>Z48*(1+AE49)</f>
        <v>948.76357217788097</v>
      </c>
      <c r="AF48" s="29">
        <f>AA48*(1+AF49)</f>
        <v>966.57260971053961</v>
      </c>
      <c r="AG48" s="19"/>
    </row>
    <row r="49" spans="1:33" outlineLevel="1" x14ac:dyDescent="0.3">
      <c r="A49" s="124"/>
      <c r="B49" s="47" t="s">
        <v>85</v>
      </c>
      <c r="C49" s="94"/>
      <c r="D49" s="29"/>
      <c r="E49" s="29"/>
      <c r="F49" s="29"/>
      <c r="G49" s="29"/>
      <c r="H49" s="19"/>
      <c r="I49" s="55">
        <f>+I48/D48-1</f>
        <v>0.18574108818011248</v>
      </c>
      <c r="J49" s="55">
        <f>+J48/E48-1</f>
        <v>0.17625899280575541</v>
      </c>
      <c r="K49" s="55">
        <f>+K48/F48-1</f>
        <v>0.14991482112436105</v>
      </c>
      <c r="L49" s="55">
        <f>+L48/G48-1</f>
        <v>0.14116094986807393</v>
      </c>
      <c r="M49" s="19"/>
      <c r="N49" s="55">
        <f>+N48/I48-1</f>
        <v>0.115506329113924</v>
      </c>
      <c r="O49" s="55">
        <f>+O48/J48-1</f>
        <v>0.10550458715596323</v>
      </c>
      <c r="P49" s="55">
        <f>+P48/K48-1</f>
        <v>9.0370370370370434E-2</v>
      </c>
      <c r="Q49" s="55">
        <f>+Q48/L48-1</f>
        <v>8.381502890173409E-2</v>
      </c>
      <c r="R49" s="19"/>
      <c r="S49" s="126">
        <f>+S48/N48-1</f>
        <v>8.9361702127659592E-2</v>
      </c>
      <c r="T49" s="55">
        <f>+T48/O48-1</f>
        <v>8.1604426002766184E-2</v>
      </c>
      <c r="U49" s="55">
        <f>+U48/P48-1</f>
        <v>8.9673913043478271E-2</v>
      </c>
      <c r="V49" s="55">
        <f>+V48/Q48-1</f>
        <v>8.9866666666666539E-2</v>
      </c>
      <c r="W49" s="19"/>
      <c r="X49" s="126">
        <f>+X48/S48-1</f>
        <v>0.10807291666666674</v>
      </c>
      <c r="Y49" s="59">
        <f>AVERAGE(T49,U49,V49,X49)+1%</f>
        <v>0.10230448059489443</v>
      </c>
      <c r="Z49" s="59">
        <f>AVERAGE(U49,V49,X49,Y49)-1%</f>
        <v>8.7479494242926503E-2</v>
      </c>
      <c r="AA49" s="59">
        <f>AVERAGE(V49,X49,Y49,Z49)-1%</f>
        <v>8.6930889542788561E-2</v>
      </c>
      <c r="AB49" s="19"/>
      <c r="AC49" s="59">
        <f>AVERAGE(X49,Y49,Z49,AA49)-1%</f>
        <v>8.6196945261819063E-2</v>
      </c>
      <c r="AD49" s="59">
        <f>AVERAGE(Y49,Z49,AA49,AC49)</f>
        <v>9.0727952410607132E-2</v>
      </c>
      <c r="AE49" s="59">
        <f>AVERAGE(Z49,AA49,AC49,AD49)</f>
        <v>8.7833820364535325E-2</v>
      </c>
      <c r="AF49" s="59">
        <f>AVERAGE(AA49,AC49,AD49,AE49)</f>
        <v>8.7922401894937524E-2</v>
      </c>
      <c r="AG49" s="19"/>
    </row>
    <row r="50" spans="1:33" s="21" customFormat="1" outlineLevel="1" x14ac:dyDescent="0.3">
      <c r="A50" s="127"/>
      <c r="B50" s="78" t="s">
        <v>81</v>
      </c>
      <c r="C50" s="36"/>
      <c r="D50" s="40">
        <f>+D42+D44+D46+D48</f>
        <v>1654</v>
      </c>
      <c r="E50" s="40">
        <f>+E42+E44+E46+E48</f>
        <v>1712</v>
      </c>
      <c r="F50" s="40">
        <f>+F42+F44+F46+F48</f>
        <v>1787</v>
      </c>
      <c r="G50" s="40">
        <f>+G42+G44+G46+G48</f>
        <v>1859.8000000000002</v>
      </c>
      <c r="H50" s="95"/>
      <c r="I50" s="40">
        <f>+I42+I44+I46+I48</f>
        <v>1936</v>
      </c>
      <c r="J50" s="40">
        <f>+J42+J44+J46+J48</f>
        <v>2006</v>
      </c>
      <c r="K50" s="40">
        <f>+K42+K44+K46+K48</f>
        <v>2072</v>
      </c>
      <c r="L50" s="40">
        <f>+L42+L44+L46+L48</f>
        <v>2129</v>
      </c>
      <c r="M50" s="95"/>
      <c r="N50" s="40">
        <f>+N42+N44+N46+N48</f>
        <v>2196</v>
      </c>
      <c r="O50" s="40">
        <f>+O42+O44+O46+O48</f>
        <v>2234</v>
      </c>
      <c r="P50" s="40">
        <f>+P42+P44+P46+P48</f>
        <v>2270</v>
      </c>
      <c r="Q50" s="40">
        <f>+Q42+Q44+Q46+Q48</f>
        <v>2320</v>
      </c>
      <c r="R50" s="95"/>
      <c r="S50" s="40">
        <f>+S42+S44+S46+S48</f>
        <v>2376</v>
      </c>
      <c r="T50" s="40">
        <f>+T42+T44+T46+T48</f>
        <v>2414</v>
      </c>
      <c r="U50" s="40">
        <f>+U42+U44+U46+U48</f>
        <v>2449</v>
      </c>
      <c r="V50" s="40">
        <f>+V42+V44+V46+V48</f>
        <v>2497.8000000000002</v>
      </c>
      <c r="W50" s="96"/>
      <c r="X50" s="40">
        <f>+X42+X44+X46+X48</f>
        <v>2603</v>
      </c>
      <c r="Y50" s="40">
        <f>+Y42+Y44+Y46+Y48</f>
        <v>2622.5791455195044</v>
      </c>
      <c r="Z50" s="40">
        <f>+Z42+Z44+Z46+Z48</f>
        <v>2632.2946347742368</v>
      </c>
      <c r="AA50" s="40">
        <f>+AA42+AA44+AA46+AA48</f>
        <v>2667.630741246292</v>
      </c>
      <c r="AB50" s="95"/>
      <c r="AC50" s="40">
        <f>+AC42+AC44+AC46+AC48</f>
        <v>2800.8517144651696</v>
      </c>
      <c r="AD50" s="40">
        <f>+AD42+AD44+AD46+AD48</f>
        <v>2821.1797302618556</v>
      </c>
      <c r="AE50" s="40">
        <f>+AE42+AE44+AE46+AE48</f>
        <v>2827.3159029556182</v>
      </c>
      <c r="AF50" s="40">
        <f>+AF42+AF44+AF46+AF48</f>
        <v>2864.5621680545455</v>
      </c>
      <c r="AG50" s="95"/>
    </row>
    <row r="51" spans="1:33" ht="17.399999999999999" x14ac:dyDescent="0.45">
      <c r="A51" s="124"/>
      <c r="B51" s="181" t="s">
        <v>87</v>
      </c>
      <c r="C51" s="182"/>
      <c r="D51" s="27" t="s">
        <v>49</v>
      </c>
      <c r="E51" s="27" t="s">
        <v>50</v>
      </c>
      <c r="F51" s="27" t="s">
        <v>51</v>
      </c>
      <c r="G51" s="27" t="s">
        <v>52</v>
      </c>
      <c r="H51" s="80" t="s">
        <v>53</v>
      </c>
      <c r="I51" s="27" t="s">
        <v>40</v>
      </c>
      <c r="J51" s="27" t="s">
        <v>41</v>
      </c>
      <c r="K51" s="27" t="s">
        <v>42</v>
      </c>
      <c r="L51" s="27" t="s">
        <v>43</v>
      </c>
      <c r="M51" s="80" t="s">
        <v>44</v>
      </c>
      <c r="N51" s="27" t="s">
        <v>31</v>
      </c>
      <c r="O51" s="27" t="s">
        <v>30</v>
      </c>
      <c r="P51" s="27" t="s">
        <v>29</v>
      </c>
      <c r="Q51" s="27" t="s">
        <v>28</v>
      </c>
      <c r="R51" s="80" t="s">
        <v>27</v>
      </c>
      <c r="S51" s="27" t="s">
        <v>119</v>
      </c>
      <c r="T51" s="27" t="s">
        <v>125</v>
      </c>
      <c r="U51" s="27" t="s">
        <v>126</v>
      </c>
      <c r="V51" s="27" t="s">
        <v>127</v>
      </c>
      <c r="W51" s="80" t="s">
        <v>128</v>
      </c>
      <c r="X51" s="27" t="s">
        <v>129</v>
      </c>
      <c r="Y51" s="25" t="s">
        <v>106</v>
      </c>
      <c r="Z51" s="25" t="s">
        <v>107</v>
      </c>
      <c r="AA51" s="25" t="s">
        <v>108</v>
      </c>
      <c r="AB51" s="82" t="s">
        <v>109</v>
      </c>
      <c r="AC51" s="25" t="s">
        <v>110</v>
      </c>
      <c r="AD51" s="25" t="s">
        <v>111</v>
      </c>
      <c r="AE51" s="25" t="s">
        <v>112</v>
      </c>
      <c r="AF51" s="25" t="s">
        <v>113</v>
      </c>
      <c r="AG51" s="82" t="s">
        <v>114</v>
      </c>
    </row>
    <row r="52" spans="1:33" ht="15.6" outlineLevel="1" x14ac:dyDescent="0.3">
      <c r="A52" s="124"/>
      <c r="B52" s="70" t="s">
        <v>116</v>
      </c>
      <c r="C52" s="48"/>
      <c r="D52" s="45">
        <v>12.426303854875284</v>
      </c>
      <c r="E52" s="45">
        <v>14.339285714285714</v>
      </c>
      <c r="F52" s="45">
        <v>15.648351648351648</v>
      </c>
      <c r="G52" s="45">
        <v>19.808695652173913</v>
      </c>
      <c r="H52" s="19"/>
      <c r="I52" s="45">
        <v>17.07</v>
      </c>
      <c r="J52" s="45">
        <v>19.38</v>
      </c>
      <c r="K52" s="45">
        <v>21.2</v>
      </c>
      <c r="L52" s="45">
        <v>26.76</v>
      </c>
      <c r="M52" s="19"/>
      <c r="N52" s="45">
        <v>23.59</v>
      </c>
      <c r="O52" s="45">
        <v>25.91</v>
      </c>
      <c r="P52" s="45">
        <v>27.61</v>
      </c>
      <c r="Q52" s="45">
        <v>34.86</v>
      </c>
      <c r="R52" s="19"/>
      <c r="S52" s="45">
        <v>30.12</v>
      </c>
      <c r="T52" s="45">
        <v>33.270000000000003</v>
      </c>
      <c r="U52" s="45">
        <v>34.549999999999997</v>
      </c>
      <c r="V52" s="45">
        <v>41.41</v>
      </c>
      <c r="W52" s="19"/>
      <c r="X52" s="45">
        <v>34.18</v>
      </c>
      <c r="Y52" s="45">
        <f>T52*(1+Y53)</f>
        <v>32.809214451560152</v>
      </c>
      <c r="Z52" s="45">
        <f>U52*(1+Z53)</f>
        <v>36.149420351897504</v>
      </c>
      <c r="AA52" s="45">
        <f>V52*(1+AA53)</f>
        <v>45.323416175098856</v>
      </c>
      <c r="AB52" s="19"/>
      <c r="AC52" s="45">
        <f>X52*(1+AC53)</f>
        <v>39.474614111809167</v>
      </c>
      <c r="AD52" s="45">
        <f>Y52*(1+AD53)</f>
        <v>38.727765575656697</v>
      </c>
      <c r="AE52" s="45">
        <f>Z52*(1+AE53)</f>
        <v>44.42596256462955</v>
      </c>
      <c r="AF52" s="45">
        <f>AA52*(1+AF53)</f>
        <v>57.770080569990206</v>
      </c>
      <c r="AG52" s="19"/>
    </row>
    <row r="53" spans="1:33" ht="15.6" outlineLevel="1" x14ac:dyDescent="0.3">
      <c r="A53" s="124"/>
      <c r="B53" s="47" t="s">
        <v>120</v>
      </c>
      <c r="C53" s="48"/>
      <c r="D53" s="45"/>
      <c r="E53" s="45"/>
      <c r="F53" s="45"/>
      <c r="G53" s="45"/>
      <c r="H53" s="19"/>
      <c r="I53" s="55">
        <f>+I52/D52-1</f>
        <v>0.373698905109489</v>
      </c>
      <c r="J53" s="55">
        <f>+J52/E52-1</f>
        <v>0.35153175591531749</v>
      </c>
      <c r="K53" s="55">
        <f>+K52/F52-1</f>
        <v>0.35477528089887644</v>
      </c>
      <c r="L53" s="55">
        <f>+L52/G52-1</f>
        <v>0.35092186128182612</v>
      </c>
      <c r="M53" s="19"/>
      <c r="N53" s="55">
        <f>+N52/I52-1</f>
        <v>0.38195664909197413</v>
      </c>
      <c r="O53" s="55">
        <f>+O52/J52-1</f>
        <v>0.33694530443756454</v>
      </c>
      <c r="P53" s="55">
        <f>+P52/K52-1</f>
        <v>0.3023584905660377</v>
      </c>
      <c r="Q53" s="55">
        <f>+Q52/L52-1</f>
        <v>0.30269058295964113</v>
      </c>
      <c r="R53" s="19"/>
      <c r="S53" s="126">
        <f>+S52/N52-1</f>
        <v>0.27681220856295052</v>
      </c>
      <c r="T53" s="55">
        <f>+T52/O52-1</f>
        <v>0.28406020841374002</v>
      </c>
      <c r="U53" s="55">
        <f>+U52/P52-1</f>
        <v>0.25135820354943861</v>
      </c>
      <c r="V53" s="55">
        <f>+V52/Q52-1</f>
        <v>0.18789443488238655</v>
      </c>
      <c r="W53" s="19"/>
      <c r="X53" s="126">
        <f>+X52/S52-1</f>
        <v>0.13479415670650718</v>
      </c>
      <c r="Y53" s="59">
        <f>AVERAGE(T53,U53,V53,X53)-22.8376632115546%</f>
        <v>-1.3849881227527894E-2</v>
      </c>
      <c r="Z53" s="59">
        <f>AVERAGE(U53,V53,X53,Y53)-9.37563094647488%</f>
        <v>4.6292919012952322E-2</v>
      </c>
      <c r="AA53" s="59">
        <f>AVERAGE(V53,X53,Y53,Z53)+0.572122632217421%</f>
        <v>9.4504133665753762E-2</v>
      </c>
      <c r="AB53" s="19"/>
      <c r="AC53" s="59">
        <f>AVERAGE(X53,Y53,Z53,AA53)+8.94685331393137%</f>
        <v>0.15490386517873506</v>
      </c>
      <c r="AD53" s="59">
        <f>AVERAGE(Y53,Z53,AA53,AC53)+10.9930195170482%</f>
        <v>0.18039295432796032</v>
      </c>
      <c r="AE53" s="59">
        <f>AVERAGE(Z53,AA53,AC53,AD53)+10.9930195170482%</f>
        <v>0.22895366321683236</v>
      </c>
      <c r="AF53" s="59">
        <f>AVERAGE(AA53,AC53,AD53,AE53)+10.9930195170482%</f>
        <v>0.27461884926780233</v>
      </c>
      <c r="AG53" s="19"/>
    </row>
    <row r="54" spans="1:33" outlineLevel="1" x14ac:dyDescent="0.3">
      <c r="A54" s="124"/>
      <c r="B54" s="70" t="s">
        <v>118</v>
      </c>
      <c r="C54" s="71"/>
      <c r="D54" s="45">
        <v>3.9847560975609757</v>
      </c>
      <c r="E54" s="45">
        <v>4.7242921013412813</v>
      </c>
      <c r="F54" s="45">
        <v>4.7205882352941178</v>
      </c>
      <c r="G54" s="45">
        <v>5.9768451519536905</v>
      </c>
      <c r="H54" s="19"/>
      <c r="I54" s="45">
        <v>5.42</v>
      </c>
      <c r="J54" s="45">
        <v>6.28</v>
      </c>
      <c r="K54" s="45">
        <v>6.85</v>
      </c>
      <c r="L54" s="45">
        <v>8.86</v>
      </c>
      <c r="M54" s="19"/>
      <c r="N54" s="45">
        <v>8.1199999999999992</v>
      </c>
      <c r="O54" s="45">
        <v>8.76</v>
      </c>
      <c r="P54" s="45">
        <v>8.82</v>
      </c>
      <c r="Q54" s="45">
        <v>10.98</v>
      </c>
      <c r="R54" s="19"/>
      <c r="S54" s="128">
        <v>9.5500000000000007</v>
      </c>
      <c r="T54" s="45">
        <v>10.7</v>
      </c>
      <c r="U54" s="45">
        <v>10.68</v>
      </c>
      <c r="V54" s="45">
        <v>13.21</v>
      </c>
      <c r="W54" s="19"/>
      <c r="X54" s="45">
        <v>10.64</v>
      </c>
      <c r="Y54" s="45">
        <f>T54*(1+Y55)</f>
        <v>10.351121700441896</v>
      </c>
      <c r="Z54" s="45">
        <f>U54*(1+Z55)</f>
        <v>11.041815891903278</v>
      </c>
      <c r="AA54" s="45">
        <f>V54*(1+AA55)</f>
        <v>14.129763121680027</v>
      </c>
      <c r="AB54" s="19"/>
      <c r="AC54" s="45">
        <f>X54*(1+AC55)</f>
        <v>12.196192692455906</v>
      </c>
      <c r="AD54" s="45">
        <f>Y54*(1+AD55)</f>
        <v>12.050978283050812</v>
      </c>
      <c r="AE54" s="45">
        <f>Z54*(1+AE55)</f>
        <v>13.398424324727085</v>
      </c>
      <c r="AF54" s="45">
        <f>AA54*(1+AF55)</f>
        <v>17.498052601706775</v>
      </c>
      <c r="AG54" s="19"/>
    </row>
    <row r="55" spans="1:33" outlineLevel="1" x14ac:dyDescent="0.3">
      <c r="A55" s="124"/>
      <c r="B55" s="47" t="s">
        <v>123</v>
      </c>
      <c r="C55" s="71"/>
      <c r="D55" s="45"/>
      <c r="E55" s="45"/>
      <c r="F55" s="45"/>
      <c r="G55" s="45"/>
      <c r="H55" s="19"/>
      <c r="I55" s="55">
        <f>+I54/D54-1</f>
        <v>0.36018362662586068</v>
      </c>
      <c r="J55" s="55">
        <f>+J54/E54-1</f>
        <v>0.32929968454258685</v>
      </c>
      <c r="K55" s="55">
        <f>+K54/F54-1</f>
        <v>0.45109034267912751</v>
      </c>
      <c r="L55" s="55">
        <f>+L54/G54-1</f>
        <v>0.48238740920096834</v>
      </c>
      <c r="M55" s="19"/>
      <c r="N55" s="55">
        <f>+N54/I54-1</f>
        <v>0.49815498154981541</v>
      </c>
      <c r="O55" s="55">
        <f>+O54/J54-1</f>
        <v>0.39490445859872603</v>
      </c>
      <c r="P55" s="55">
        <f>+P54/K54-1</f>
        <v>0.28759124087591248</v>
      </c>
      <c r="Q55" s="55">
        <f>+Q54/L54-1</f>
        <v>0.23927765237020338</v>
      </c>
      <c r="R55" s="19"/>
      <c r="S55" s="126">
        <f>+S54/N54-1</f>
        <v>0.17610837438423665</v>
      </c>
      <c r="T55" s="55">
        <f>+T54/O54-1</f>
        <v>0.22146118721461172</v>
      </c>
      <c r="U55" s="55">
        <f>+U54/P54-1</f>
        <v>0.21088435374149661</v>
      </c>
      <c r="V55" s="55">
        <f>+V54/Q54-1</f>
        <v>0.2030965391621129</v>
      </c>
      <c r="W55" s="19"/>
      <c r="X55" s="126">
        <f>+X54/S54-1</f>
        <v>0.11413612565445019</v>
      </c>
      <c r="Y55" s="59">
        <f>AVERAGE(T55,U55,V55,X55)-22%</f>
        <v>-3.2605448556832145E-2</v>
      </c>
      <c r="Z55" s="59">
        <f>AVERAGE(U55,V55,X55,Y55)-9%</f>
        <v>3.38778925003069E-2</v>
      </c>
      <c r="AA55" s="59">
        <f>AVERAGE(V55,X55,Y55,Z55)-1%</f>
        <v>6.9626277190009481E-2</v>
      </c>
      <c r="AB55" s="19"/>
      <c r="AC55" s="59">
        <f>AVERAGE(X55,Y55,Z55,AA55)+10%</f>
        <v>0.14625871169698362</v>
      </c>
      <c r="AD55" s="59">
        <f>AVERAGE(Y55,Z55,AA55,AC55)+10.9930195170482%</f>
        <v>0.16421955337809896</v>
      </c>
      <c r="AE55" s="59">
        <f>AVERAGE(Z55,AA55,AC55,AD55)+10.9930195170482%</f>
        <v>0.21342580386183174</v>
      </c>
      <c r="AF55" s="59">
        <f>AVERAGE(AA55,AC55,AD55,AE55)+9%</f>
        <v>0.23838258653173094</v>
      </c>
      <c r="AG55" s="19"/>
    </row>
    <row r="56" spans="1:33" outlineLevel="1" x14ac:dyDescent="0.3">
      <c r="A56" s="124"/>
      <c r="B56" s="70" t="s">
        <v>88</v>
      </c>
      <c r="C56" s="71"/>
      <c r="D56" s="45">
        <v>1.5587703435804701</v>
      </c>
      <c r="E56" s="45">
        <v>1.770293609671848</v>
      </c>
      <c r="F56" s="45">
        <v>1.8902538902538903</v>
      </c>
      <c r="G56" s="45">
        <v>2.0715601965601964</v>
      </c>
      <c r="H56" s="19"/>
      <c r="I56" s="45">
        <v>1.98</v>
      </c>
      <c r="J56" s="45">
        <v>2.13</v>
      </c>
      <c r="K56" s="45">
        <v>2.27</v>
      </c>
      <c r="L56" s="45">
        <v>2.54</v>
      </c>
      <c r="M56" s="19"/>
      <c r="N56" s="45">
        <v>2.46</v>
      </c>
      <c r="O56" s="45">
        <v>2.62</v>
      </c>
      <c r="P56" s="45">
        <v>2.67</v>
      </c>
      <c r="Q56" s="45">
        <v>2.96</v>
      </c>
      <c r="R56" s="19"/>
      <c r="S56" s="128">
        <v>2.78</v>
      </c>
      <c r="T56" s="45">
        <v>3.04</v>
      </c>
      <c r="U56" s="45">
        <v>3.24</v>
      </c>
      <c r="V56" s="45">
        <v>3.57</v>
      </c>
      <c r="W56" s="19"/>
      <c r="X56" s="45">
        <v>3.06</v>
      </c>
      <c r="Y56" s="45">
        <f>T56*(1+Y57)</f>
        <v>2.9492476362914881</v>
      </c>
      <c r="Z56" s="45">
        <f>U56*(1+Z57)</f>
        <v>3.3780490293151093</v>
      </c>
      <c r="AA56" s="45">
        <f>V56*(1+AA57)</f>
        <v>3.8195032653813352</v>
      </c>
      <c r="AB56" s="19"/>
      <c r="AC56" s="45">
        <f>X56*(1+AC57)</f>
        <v>3.5062729001672608</v>
      </c>
      <c r="AD56" s="45">
        <f>Y56*(1+AD57)</f>
        <v>3.4419234659888041</v>
      </c>
      <c r="AE56" s="45">
        <f>Z56*(1+AE57)</f>
        <v>4.1086446507959886</v>
      </c>
      <c r="AF56" s="45">
        <f>AA56*(1+AF57)</f>
        <v>4.8114084174645129</v>
      </c>
      <c r="AG56" s="19"/>
    </row>
    <row r="57" spans="1:33" outlineLevel="1" x14ac:dyDescent="0.3">
      <c r="A57" s="124"/>
      <c r="B57" s="47" t="s">
        <v>122</v>
      </c>
      <c r="C57" s="71"/>
      <c r="D57" s="45"/>
      <c r="E57" s="45"/>
      <c r="F57" s="45"/>
      <c r="G57" s="45"/>
      <c r="H57" s="19"/>
      <c r="I57" s="55">
        <f>+I56/D56-1</f>
        <v>0.27023201856148504</v>
      </c>
      <c r="J57" s="55">
        <f>+J56/E56-1</f>
        <v>0.20319024390243889</v>
      </c>
      <c r="K57" s="55">
        <f>+K56/F56-1</f>
        <v>0.20089688041594456</v>
      </c>
      <c r="L57" s="55">
        <f>+L56/G56-1</f>
        <v>0.22612898443291329</v>
      </c>
      <c r="M57" s="19"/>
      <c r="N57" s="55">
        <f>+N56/I56-1</f>
        <v>0.24242424242424243</v>
      </c>
      <c r="O57" s="55">
        <f>+O56/J56-1</f>
        <v>0.23004694835680772</v>
      </c>
      <c r="P57" s="55">
        <f>+P56/K56-1</f>
        <v>0.17621145374449343</v>
      </c>
      <c r="Q57" s="55">
        <f>+Q56/L56-1</f>
        <v>0.16535433070866135</v>
      </c>
      <c r="R57" s="19"/>
      <c r="S57" s="126">
        <f>+S56/N56-1</f>
        <v>0.13008130081300817</v>
      </c>
      <c r="T57" s="55">
        <f>+T56/O56-1</f>
        <v>0.16030534351145032</v>
      </c>
      <c r="U57" s="55">
        <f>+U56/P56-1</f>
        <v>0.21348314606741581</v>
      </c>
      <c r="V57" s="55">
        <f>+V56/Q56-1</f>
        <v>0.20608108108108114</v>
      </c>
      <c r="W57" s="22"/>
      <c r="X57" s="126">
        <f>+X56/S56-1</f>
        <v>0.10071942446043169</v>
      </c>
      <c r="Y57" s="59">
        <f>AVERAGE(T57,U57,V57,X57)-20%</f>
        <v>-2.9852751219905271E-2</v>
      </c>
      <c r="Z57" s="59">
        <f>AVERAGE(U57,V57,X57,Y57)-8%</f>
        <v>4.2607725097255841E-2</v>
      </c>
      <c r="AA57" s="59">
        <f>AVERAGE(V57,X57,Y57,Z57)-1%</f>
        <v>6.988886985471586E-2</v>
      </c>
      <c r="AB57" s="19"/>
      <c r="AC57" s="59">
        <f>AVERAGE(X57,Y57,Z57,AA57)+10%</f>
        <v>0.14584081704812454</v>
      </c>
      <c r="AD57" s="59">
        <f>AVERAGE(Y57,Z57,AA57,AC57)+10.9930195170482%</f>
        <v>0.16705136036552976</v>
      </c>
      <c r="AE57" s="59">
        <f>AVERAGE(Z57,AA57,AC57,AD57)+10.9930195170482%</f>
        <v>0.2162773882618885</v>
      </c>
      <c r="AF57" s="59">
        <f>AVERAGE(AA57,AC57,AD57,AE57)+10.9930195170482%</f>
        <v>0.25969480405304668</v>
      </c>
      <c r="AG57" s="19"/>
    </row>
    <row r="58" spans="1:33" outlineLevel="1" x14ac:dyDescent="0.3">
      <c r="A58" s="124"/>
      <c r="B58" s="70" t="s">
        <v>89</v>
      </c>
      <c r="C58" s="71"/>
      <c r="D58" s="45">
        <v>0.90786948176583493</v>
      </c>
      <c r="E58" s="45">
        <v>1.1276400367309458</v>
      </c>
      <c r="F58" s="45">
        <v>1.2108486439195101</v>
      </c>
      <c r="G58" s="45">
        <v>1.4060667001843472</v>
      </c>
      <c r="H58" s="19"/>
      <c r="I58" s="45">
        <v>1.27</v>
      </c>
      <c r="J58" s="45">
        <v>1.48</v>
      </c>
      <c r="K58" s="45">
        <v>1.59</v>
      </c>
      <c r="L58" s="45">
        <v>1.86</v>
      </c>
      <c r="M58" s="19"/>
      <c r="N58" s="45">
        <v>1.68</v>
      </c>
      <c r="O58" s="45">
        <v>1.91</v>
      </c>
      <c r="P58" s="45">
        <v>1.82</v>
      </c>
      <c r="Q58" s="45">
        <v>2.11</v>
      </c>
      <c r="R58" s="19"/>
      <c r="S58" s="128">
        <v>1.89</v>
      </c>
      <c r="T58" s="45">
        <v>2.13</v>
      </c>
      <c r="U58" s="45">
        <v>2.2400000000000002</v>
      </c>
      <c r="V58" s="45">
        <v>2.48</v>
      </c>
      <c r="W58" s="19"/>
      <c r="X58" s="45">
        <v>1.99</v>
      </c>
      <c r="Y58" s="45">
        <f>T58*(1+Y59)</f>
        <v>2.0736710743444351</v>
      </c>
      <c r="Z58" s="45">
        <f>U58*(1+Z59)</f>
        <v>2.3030499681916377</v>
      </c>
      <c r="AA58" s="45">
        <f>V58*(1+AA59)</f>
        <v>2.5977797293311466</v>
      </c>
      <c r="AB58" s="19"/>
      <c r="AC58" s="45">
        <f>X58*(1+AC59)</f>
        <v>2.2397965815358294</v>
      </c>
      <c r="AD58" s="45">
        <f>Y58*(1+AD59)</f>
        <v>2.3922078589557079</v>
      </c>
      <c r="AE58" s="45">
        <f>Z58*(1+AE59)</f>
        <v>2.7604909173018433</v>
      </c>
      <c r="AF58" s="45">
        <f>AA58*(1+AF59)</f>
        <v>3.2244762871343862</v>
      </c>
      <c r="AG58" s="19"/>
    </row>
    <row r="59" spans="1:33" ht="16.2" outlineLevel="1" x14ac:dyDescent="0.45">
      <c r="A59" s="124"/>
      <c r="B59" s="47" t="s">
        <v>121</v>
      </c>
      <c r="C59" s="71"/>
      <c r="D59" s="97"/>
      <c r="E59" s="97"/>
      <c r="F59" s="97"/>
      <c r="G59" s="97"/>
      <c r="H59" s="98"/>
      <c r="I59" s="55">
        <f>+I58/D58-1</f>
        <v>0.39887949260042288</v>
      </c>
      <c r="J59" s="55">
        <f>+J58/E58-1</f>
        <v>0.3124755700325732</v>
      </c>
      <c r="K59" s="55">
        <f>+K58/F58-1</f>
        <v>0.31312861271676296</v>
      </c>
      <c r="L59" s="55">
        <f>+L58/G58-1</f>
        <v>0.32283909415971412</v>
      </c>
      <c r="M59" s="98"/>
      <c r="N59" s="55">
        <f>+N58/I58-1</f>
        <v>0.32283464566929121</v>
      </c>
      <c r="O59" s="55">
        <f>+O58/J58-1</f>
        <v>0.29054054054054057</v>
      </c>
      <c r="P59" s="55">
        <f>+P58/K58-1</f>
        <v>0.14465408805031443</v>
      </c>
      <c r="Q59" s="55">
        <f>+Q58/L58-1</f>
        <v>0.13440860215053752</v>
      </c>
      <c r="R59" s="98"/>
      <c r="S59" s="126">
        <f>+S58/N58-1</f>
        <v>0.125</v>
      </c>
      <c r="T59" s="55">
        <f>+T58/O58-1</f>
        <v>0.11518324607329844</v>
      </c>
      <c r="U59" s="55">
        <f>+U58/P58-1</f>
        <v>0.23076923076923084</v>
      </c>
      <c r="V59" s="55">
        <f>+V58/Q58-1</f>
        <v>0.17535545023696697</v>
      </c>
      <c r="W59" s="98"/>
      <c r="X59" s="126">
        <f>+X58/S58-1</f>
        <v>5.2910052910053018E-2</v>
      </c>
      <c r="Y59" s="59">
        <f>AVERAGE(T59,U59,V59,X59)-17%</f>
        <v>-2.6445505002612696E-2</v>
      </c>
      <c r="Z59" s="59">
        <f>AVERAGE(U59,V59,X59,Y59)-8%</f>
        <v>2.8147307228409538E-2</v>
      </c>
      <c r="AA59" s="59">
        <f>AVERAGE(V59,X59,Y59,Z59)-1%</f>
        <v>4.7491826343204209E-2</v>
      </c>
      <c r="AB59" s="19"/>
      <c r="AC59" s="59">
        <f>AVERAGE(X59,Y59,Z59,AA59)+10%</f>
        <v>0.12552592036976351</v>
      </c>
      <c r="AD59" s="59">
        <f>AVERAGE(Y59,Z59,AA59,AC59)+10.9930195170482%</f>
        <v>0.15361008240517315</v>
      </c>
      <c r="AE59" s="59">
        <f>AVERAGE(Z59,AA59,AC59,AD59)+10.9930195170482%</f>
        <v>0.19862397925711961</v>
      </c>
      <c r="AF59" s="59">
        <f>AVERAGE(AA59,AC59,AD59,AE59)+10.9930195170482%</f>
        <v>0.2412431472642971</v>
      </c>
      <c r="AG59" s="19"/>
    </row>
    <row r="60" spans="1:33" outlineLevel="1" x14ac:dyDescent="0.3">
      <c r="A60" s="124"/>
      <c r="B60" s="78" t="s">
        <v>90</v>
      </c>
      <c r="C60" s="71"/>
      <c r="D60" s="43"/>
      <c r="E60" s="43">
        <f>+E40/((D50+E50)/2)</f>
        <v>3.8241235888294711</v>
      </c>
      <c r="F60" s="43">
        <f>+F40/((E50+F50)/2)</f>
        <v>4.007430694484138</v>
      </c>
      <c r="G60" s="43">
        <f>+G40/((F50+G50)/2)</f>
        <v>4.831084786662279</v>
      </c>
      <c r="H60" s="19"/>
      <c r="I60" s="43">
        <f>+I40/((G50+I50)/2)</f>
        <v>4.2320459455187311</v>
      </c>
      <c r="J60" s="43">
        <f>+J40/((I50+J50)/2)</f>
        <v>4.7290715372907153</v>
      </c>
      <c r="K60" s="43">
        <f>+K40/((J50+K50)/2)</f>
        <v>5.0652280529671412</v>
      </c>
      <c r="L60" s="43">
        <f>+L40/((K50+L50)/2)</f>
        <v>6.1756724589383483</v>
      </c>
      <c r="M60" s="19"/>
      <c r="N60" s="43">
        <f>+N40/((L50+N50)/2)</f>
        <v>5.5334104046242771</v>
      </c>
      <c r="O60" s="43">
        <f>+O40/((N50+O50)/2)</f>
        <v>5.9733634311512418</v>
      </c>
      <c r="P60" s="43">
        <f>+P40/((O50+P50)/2)</f>
        <v>6.0954706927175843</v>
      </c>
      <c r="Q60" s="43">
        <f>+Q40/((P50+Q50)/2)</f>
        <v>7.3699346405228754</v>
      </c>
      <c r="R60" s="19"/>
      <c r="S60" s="122">
        <f>+S40/((Q50+S50)/2)</f>
        <v>6.4212095400340718</v>
      </c>
      <c r="T60" s="43">
        <f>+T40/((S50+T50)/2)</f>
        <v>7.0505219206680581</v>
      </c>
      <c r="U60" s="43">
        <f>+U40/((T50+U50)/2)</f>
        <v>7.2597162245527453</v>
      </c>
      <c r="V60" s="43">
        <f>+V40/((U50+V50)/2)</f>
        <v>8.5234899328859051</v>
      </c>
      <c r="W60" s="19"/>
      <c r="X60" s="43">
        <f>+X40/((V50+X50)/2)</f>
        <v>6.954595357590966</v>
      </c>
      <c r="Y60" s="43">
        <f>+Y40/((X50+Y50)/2)</f>
        <v>6.7105599650004448</v>
      </c>
      <c r="Z60" s="43">
        <f>+Z40/((Y50+Z50)/2)</f>
        <v>7.3592221919117859</v>
      </c>
      <c r="AA60" s="43">
        <f>+AA40/((Z50+AA50)/2)</f>
        <v>8.9408617526154845</v>
      </c>
      <c r="AB60" s="19"/>
      <c r="AC60" s="43">
        <f>+AC40/((AA50+AC50)/2)</f>
        <v>7.7662647213862854</v>
      </c>
      <c r="AD60" s="43">
        <f>+AD40/((AC50+AD50)/2)</f>
        <v>7.6296420121069453</v>
      </c>
      <c r="AE60" s="43">
        <f>+AE40/((AD50+AE50)/2)</f>
        <v>8.7172448097113957</v>
      </c>
      <c r="AF60" s="43">
        <f>+AF40/((AE50+AF50)/2)</f>
        <v>10.936583663746113</v>
      </c>
      <c r="AG60" s="19"/>
    </row>
    <row r="61" spans="1:33" ht="17.399999999999999" x14ac:dyDescent="0.45">
      <c r="A61" s="124"/>
      <c r="B61" s="181" t="s">
        <v>26</v>
      </c>
      <c r="C61" s="182"/>
      <c r="D61" s="27" t="s">
        <v>49</v>
      </c>
      <c r="E61" s="27" t="s">
        <v>50</v>
      </c>
      <c r="F61" s="27" t="s">
        <v>51</v>
      </c>
      <c r="G61" s="27" t="s">
        <v>52</v>
      </c>
      <c r="H61" s="80" t="s">
        <v>53</v>
      </c>
      <c r="I61" s="27" t="s">
        <v>40</v>
      </c>
      <c r="J61" s="27" t="s">
        <v>41</v>
      </c>
      <c r="K61" s="27" t="s">
        <v>42</v>
      </c>
      <c r="L61" s="27" t="s">
        <v>43</v>
      </c>
      <c r="M61" s="80" t="s">
        <v>44</v>
      </c>
      <c r="N61" s="27" t="s">
        <v>31</v>
      </c>
      <c r="O61" s="27" t="s">
        <v>30</v>
      </c>
      <c r="P61" s="27" t="s">
        <v>29</v>
      </c>
      <c r="Q61" s="27" t="s">
        <v>28</v>
      </c>
      <c r="R61" s="80" t="s">
        <v>27</v>
      </c>
      <c r="S61" s="27" t="s">
        <v>119</v>
      </c>
      <c r="T61" s="27" t="s">
        <v>125</v>
      </c>
      <c r="U61" s="27" t="s">
        <v>126</v>
      </c>
      <c r="V61" s="27" t="s">
        <v>127</v>
      </c>
      <c r="W61" s="80" t="s">
        <v>128</v>
      </c>
      <c r="X61" s="27" t="s">
        <v>129</v>
      </c>
      <c r="Y61" s="25" t="s">
        <v>106</v>
      </c>
      <c r="Z61" s="25" t="s">
        <v>107</v>
      </c>
      <c r="AA61" s="25" t="s">
        <v>108</v>
      </c>
      <c r="AB61" s="82" t="s">
        <v>109</v>
      </c>
      <c r="AC61" s="25" t="s">
        <v>110</v>
      </c>
      <c r="AD61" s="25" t="s">
        <v>111</v>
      </c>
      <c r="AE61" s="25" t="s">
        <v>112</v>
      </c>
      <c r="AF61" s="25" t="s">
        <v>113</v>
      </c>
      <c r="AG61" s="82" t="s">
        <v>114</v>
      </c>
    </row>
    <row r="62" spans="1:33" s="52" customFormat="1" ht="15.6" customHeight="1" outlineLevel="1" x14ac:dyDescent="0.3">
      <c r="A62" s="129"/>
      <c r="B62" s="70" t="s">
        <v>19</v>
      </c>
      <c r="C62" s="48"/>
      <c r="D62" s="45">
        <f>+D40-D13</f>
        <v>0</v>
      </c>
      <c r="E62" s="45">
        <f>+E40-E13</f>
        <v>0</v>
      </c>
      <c r="F62" s="45">
        <f>+F40-F13</f>
        <v>0</v>
      </c>
      <c r="G62" s="45">
        <f>+G40-G13</f>
        <v>0</v>
      </c>
      <c r="H62" s="19"/>
      <c r="I62" s="45">
        <f>+I40-I13</f>
        <v>0</v>
      </c>
      <c r="J62" s="45">
        <f>+J40-J13</f>
        <v>0</v>
      </c>
      <c r="K62" s="45">
        <f>+K40-K13</f>
        <v>0</v>
      </c>
      <c r="L62" s="45">
        <f>+L40-L13</f>
        <v>0</v>
      </c>
      <c r="M62" s="19"/>
      <c r="N62" s="45">
        <f>+N40-N13</f>
        <v>0</v>
      </c>
      <c r="O62" s="45">
        <f>+O40-O13</f>
        <v>0</v>
      </c>
      <c r="P62" s="45">
        <f>+P40-P13</f>
        <v>0</v>
      </c>
      <c r="Q62" s="45">
        <f>+Q40-Q13</f>
        <v>0</v>
      </c>
      <c r="R62" s="19"/>
      <c r="S62" s="45">
        <f>+S40-S13</f>
        <v>0</v>
      </c>
      <c r="T62" s="45">
        <f>+T40-T13</f>
        <v>0</v>
      </c>
      <c r="U62" s="45">
        <f>+U40-U13</f>
        <v>0</v>
      </c>
      <c r="V62" s="45">
        <f>+V40-V13</f>
        <v>0</v>
      </c>
      <c r="W62" s="19"/>
      <c r="X62" s="45">
        <f>+X40-X13</f>
        <v>0</v>
      </c>
      <c r="Y62" s="45">
        <f>+Y40-Y13</f>
        <v>0</v>
      </c>
      <c r="Z62" s="45">
        <f>+Z40-Z13</f>
        <v>0</v>
      </c>
      <c r="AA62" s="45">
        <f>+AA40-AA13</f>
        <v>0</v>
      </c>
      <c r="AB62" s="19"/>
      <c r="AC62" s="45">
        <f>+AC40-AC13</f>
        <v>0</v>
      </c>
      <c r="AD62" s="45">
        <f>+AD40-AD13</f>
        <v>0</v>
      </c>
      <c r="AE62" s="45">
        <f>+AE40-AE13</f>
        <v>0</v>
      </c>
      <c r="AF62" s="45">
        <f>+AF40-AF13</f>
        <v>0</v>
      </c>
      <c r="AG62" s="19"/>
    </row>
    <row r="63" spans="1:33" ht="15" customHeight="1" x14ac:dyDescent="0.45">
      <c r="A63" s="124"/>
      <c r="B63" s="181" t="s">
        <v>16</v>
      </c>
      <c r="C63" s="182"/>
      <c r="D63" s="27" t="s">
        <v>49</v>
      </c>
      <c r="E63" s="27" t="s">
        <v>50</v>
      </c>
      <c r="F63" s="27" t="s">
        <v>51</v>
      </c>
      <c r="G63" s="27" t="s">
        <v>52</v>
      </c>
      <c r="H63" s="80" t="s">
        <v>53</v>
      </c>
      <c r="I63" s="27" t="s">
        <v>40</v>
      </c>
      <c r="J63" s="27" t="s">
        <v>41</v>
      </c>
      <c r="K63" s="27" t="s">
        <v>42</v>
      </c>
      <c r="L63" s="27" t="s">
        <v>43</v>
      </c>
      <c r="M63" s="80" t="s">
        <v>44</v>
      </c>
      <c r="N63" s="27" t="s">
        <v>31</v>
      </c>
      <c r="O63" s="27" t="s">
        <v>30</v>
      </c>
      <c r="P63" s="27" t="s">
        <v>29</v>
      </c>
      <c r="Q63" s="27" t="s">
        <v>28</v>
      </c>
      <c r="R63" s="80" t="s">
        <v>27</v>
      </c>
      <c r="S63" s="27" t="s">
        <v>119</v>
      </c>
      <c r="T63" s="27" t="s">
        <v>125</v>
      </c>
      <c r="U63" s="27" t="s">
        <v>126</v>
      </c>
      <c r="V63" s="27" t="s">
        <v>127</v>
      </c>
      <c r="W63" s="80" t="s">
        <v>128</v>
      </c>
      <c r="X63" s="27" t="s">
        <v>129</v>
      </c>
      <c r="Y63" s="25" t="s">
        <v>106</v>
      </c>
      <c r="Z63" s="25" t="s">
        <v>107</v>
      </c>
      <c r="AA63" s="25" t="s">
        <v>108</v>
      </c>
      <c r="AB63" s="82" t="s">
        <v>109</v>
      </c>
      <c r="AC63" s="25" t="s">
        <v>110</v>
      </c>
      <c r="AD63" s="25" t="s">
        <v>111</v>
      </c>
      <c r="AE63" s="25" t="s">
        <v>112</v>
      </c>
      <c r="AF63" s="25" t="s">
        <v>113</v>
      </c>
      <c r="AG63" s="82" t="s">
        <v>114</v>
      </c>
    </row>
    <row r="64" spans="1:33" s="42" customFormat="1" outlineLevel="1" x14ac:dyDescent="0.3">
      <c r="A64" s="131"/>
      <c r="B64" s="189" t="s">
        <v>101</v>
      </c>
      <c r="C64" s="190"/>
      <c r="D64" s="55"/>
      <c r="E64" s="55"/>
      <c r="F64" s="55"/>
      <c r="G64" s="55"/>
      <c r="H64" s="53"/>
      <c r="I64" s="55">
        <f t="shared" ref="I64:AG64" si="8">I13/D13-1</f>
        <v>0.49238201412114457</v>
      </c>
      <c r="J64" s="55">
        <f t="shared" si="8"/>
        <v>0.44825978868862637</v>
      </c>
      <c r="K64" s="55">
        <f t="shared" si="8"/>
        <v>0.47311367850520614</v>
      </c>
      <c r="L64" s="55">
        <f t="shared" si="8"/>
        <v>0.47258485639686687</v>
      </c>
      <c r="M64" s="53">
        <f t="shared" si="8"/>
        <v>0.47090961719371882</v>
      </c>
      <c r="N64" s="55">
        <f t="shared" si="8"/>
        <v>0.48979083665338652</v>
      </c>
      <c r="O64" s="55">
        <f t="shared" si="8"/>
        <v>0.41948288810213485</v>
      </c>
      <c r="P64" s="55">
        <f t="shared" si="8"/>
        <v>0.32910534469403574</v>
      </c>
      <c r="Q64" s="55">
        <f t="shared" si="8"/>
        <v>0.30388529139685483</v>
      </c>
      <c r="R64" s="54">
        <f t="shared" si="8"/>
        <v>0.37352716896661997</v>
      </c>
      <c r="S64" s="55">
        <f t="shared" si="8"/>
        <v>0.25998662878154777</v>
      </c>
      <c r="T64" s="55">
        <f t="shared" si="8"/>
        <v>0.2762451817700855</v>
      </c>
      <c r="U64" s="55">
        <f t="shared" si="8"/>
        <v>0.2859328331026445</v>
      </c>
      <c r="V64" s="55">
        <f t="shared" si="8"/>
        <v>0.2464230814709707</v>
      </c>
      <c r="W64" s="54">
        <f t="shared" si="8"/>
        <v>0.26610910132884413</v>
      </c>
      <c r="X64" s="55">
        <f>X13/S13-1</f>
        <v>0.17642767128739134</v>
      </c>
      <c r="Y64" s="55">
        <f>Y13/T13-1</f>
        <v>3.8332411697987068E-2</v>
      </c>
      <c r="Z64" s="55">
        <f>Z13/U13-1</f>
        <v>9.5393829017478948E-2</v>
      </c>
      <c r="AA64" s="55">
        <f>AA13/V13-1</f>
        <v>0.12384735997956042</v>
      </c>
      <c r="AB64" s="53">
        <f>AB13/W13-1</f>
        <v>0.10753105530415485</v>
      </c>
      <c r="AC64" s="55">
        <f t="shared" si="8"/>
        <v>0.19720590785678982</v>
      </c>
      <c r="AD64" s="55">
        <f t="shared" si="8"/>
        <v>0.22321906121882962</v>
      </c>
      <c r="AE64" s="55">
        <f t="shared" si="8"/>
        <v>0.27326216894617161</v>
      </c>
      <c r="AF64" s="55">
        <f t="shared" si="8"/>
        <v>0.31367560000410077</v>
      </c>
      <c r="AG64" s="53">
        <f t="shared" si="8"/>
        <v>0.2570561588910909</v>
      </c>
    </row>
    <row r="65" spans="1:33" s="42" customFormat="1" outlineLevel="1" x14ac:dyDescent="0.3">
      <c r="A65" s="131"/>
      <c r="B65" s="189" t="s">
        <v>102</v>
      </c>
      <c r="C65" s="190"/>
      <c r="D65" s="55"/>
      <c r="E65" s="55">
        <f>+E13/D13-1</f>
        <v>0.19583797844667417</v>
      </c>
      <c r="F65" s="55">
        <f t="shared" ref="F65:L65" si="9">+F13/E13-1</f>
        <v>8.9341205717837102E-2</v>
      </c>
      <c r="G65" s="55">
        <f t="shared" si="9"/>
        <v>0.25645414348880324</v>
      </c>
      <c r="H65" s="53"/>
      <c r="I65" s="55">
        <f>+I13/G13-1</f>
        <v>-8.8205244636167524E-2</v>
      </c>
      <c r="J65" s="55">
        <f t="shared" si="9"/>
        <v>0.16048306772908361</v>
      </c>
      <c r="K65" s="55">
        <f t="shared" si="9"/>
        <v>0.10803561849586951</v>
      </c>
      <c r="L65" s="55">
        <f t="shared" si="9"/>
        <v>0.25600309837335389</v>
      </c>
      <c r="M65" s="53"/>
      <c r="N65" s="55">
        <f>+N13/L13-1</f>
        <v>-7.755164970706141E-2</v>
      </c>
      <c r="O65" s="55">
        <f>+O13/N13-1</f>
        <v>0.10571619588835035</v>
      </c>
      <c r="P65" s="55">
        <f>+P13/O13-1</f>
        <v>3.7487718237472656E-2</v>
      </c>
      <c r="Q65" s="55">
        <f>+Q13/P13-1</f>
        <v>0.23217017556640207</v>
      </c>
      <c r="R65" s="54"/>
      <c r="S65" s="55">
        <f>+S13/Q13-1</f>
        <v>-0.10860825351779591</v>
      </c>
      <c r="T65" s="55">
        <f>+T13/S13-1</f>
        <v>0.11998408171386887</v>
      </c>
      <c r="U65" s="55">
        <f>+U13/T13-1</f>
        <v>4.536302262229075E-2</v>
      </c>
      <c r="V65" s="55">
        <f>+V13/U13-1</f>
        <v>0.19431225923408113</v>
      </c>
      <c r="W65" s="54"/>
      <c r="X65" s="55">
        <f>+X13/V13-1</f>
        <v>-0.15866616070581541</v>
      </c>
      <c r="Y65" s="55">
        <f>+Y13/X13-1</f>
        <v>-1.1485532844775825E-2</v>
      </c>
      <c r="Z65" s="55">
        <f>+Z13/Y13-1</f>
        <v>0.10281080621470529</v>
      </c>
      <c r="AA65" s="55">
        <f>+AA13/Z13-1</f>
        <v>0.22533525748941274</v>
      </c>
      <c r="AB65" s="53"/>
      <c r="AC65" s="55">
        <f>+AC13/AA13-1</f>
        <v>-0.10374853494236802</v>
      </c>
      <c r="AD65" s="55">
        <f>+AD13/AC13-1</f>
        <v>9.9931269796960098E-3</v>
      </c>
      <c r="AE65" s="55">
        <f>+AE13/AD13-1</f>
        <v>0.14792789253879279</v>
      </c>
      <c r="AF65" s="55">
        <f>+AF13/AE13-1</f>
        <v>0.26422748499695259</v>
      </c>
      <c r="AG65" s="53"/>
    </row>
    <row r="66" spans="1:33" s="42" customFormat="1" outlineLevel="1" x14ac:dyDescent="0.3">
      <c r="A66" s="131"/>
      <c r="B66" s="70" t="s">
        <v>105</v>
      </c>
      <c r="C66" s="71"/>
      <c r="D66" s="55"/>
      <c r="E66" s="55"/>
      <c r="F66" s="55"/>
      <c r="G66" s="55"/>
      <c r="H66" s="53"/>
      <c r="I66" s="55"/>
      <c r="J66" s="55"/>
      <c r="K66" s="55"/>
      <c r="L66" s="55"/>
      <c r="M66" s="53"/>
      <c r="N66" s="112">
        <f>+N84+N13</f>
        <v>11430</v>
      </c>
      <c r="O66" s="112">
        <f>+O84+O13</f>
        <v>12858</v>
      </c>
      <c r="P66" s="112">
        <f>+P84+P13</f>
        <v>13886</v>
      </c>
      <c r="Q66" s="112">
        <f>+Q84+Q13</f>
        <v>17262</v>
      </c>
      <c r="R66" s="54"/>
      <c r="S66" s="29">
        <f>+S84+S13</f>
        <v>15580</v>
      </c>
      <c r="T66" s="29">
        <f>+T84+T13</f>
        <v>17460</v>
      </c>
      <c r="U66" s="29">
        <f>+U84+U13</f>
        <v>17949</v>
      </c>
      <c r="V66" s="29">
        <f>+V84+V13</f>
        <v>21377</v>
      </c>
      <c r="W66" s="30">
        <f>SUM(S66:V66)</f>
        <v>72366</v>
      </c>
      <c r="X66" s="29">
        <f>+X84+X13</f>
        <v>18012</v>
      </c>
      <c r="Y66" s="29">
        <f>+Y84+Y13</f>
        <v>17818.281103932211</v>
      </c>
      <c r="Z66" s="29">
        <f>+Z84+Z13</f>
        <v>19653.14186981654</v>
      </c>
      <c r="AA66" s="29">
        <f>+AA84+AA13</f>
        <v>24010.200043089091</v>
      </c>
      <c r="AB66" s="30">
        <f>SUM(X66:AA66)</f>
        <v>79493.623016837839</v>
      </c>
      <c r="AC66" s="29">
        <f>+AC84+AC13</f>
        <v>21284.841187655882</v>
      </c>
      <c r="AD66" s="29">
        <f>+AD84+AD13</f>
        <v>21497.043652037806</v>
      </c>
      <c r="AE66" s="29">
        <f>+AE84+AE13</f>
        <v>24669.659620671253</v>
      </c>
      <c r="AF66" s="29">
        <f>+AF84+AF13</f>
        <v>31174.850363722246</v>
      </c>
      <c r="AG66" s="30">
        <f>SUM(AC66:AF66)</f>
        <v>98626.394824087183</v>
      </c>
    </row>
    <row r="67" spans="1:33" s="42" customFormat="1" outlineLevel="1" x14ac:dyDescent="0.3">
      <c r="A67" s="131"/>
      <c r="B67" s="189" t="s">
        <v>103</v>
      </c>
      <c r="C67" s="190"/>
      <c r="D67" s="55"/>
      <c r="E67" s="55"/>
      <c r="F67" s="55"/>
      <c r="G67" s="55"/>
      <c r="H67" s="53"/>
      <c r="I67" s="55"/>
      <c r="J67" s="55"/>
      <c r="K67" s="55"/>
      <c r="L67" s="55"/>
      <c r="M67" s="53"/>
      <c r="N67" s="55"/>
      <c r="O67" s="55"/>
      <c r="P67" s="55"/>
      <c r="Q67" s="55"/>
      <c r="R67" s="54">
        <f>+(R13+R84)/(M13+M84)-1</f>
        <v>0.36366319828794924</v>
      </c>
      <c r="S67" s="55">
        <f t="shared" ref="S67:AG67" si="10">+S66/N13-1</f>
        <v>0.30202239679090748</v>
      </c>
      <c r="T67" s="55">
        <f t="shared" si="10"/>
        <v>0.31962814602070888</v>
      </c>
      <c r="U67" s="55">
        <f t="shared" si="10"/>
        <v>0.30756902455015656</v>
      </c>
      <c r="V67" s="55">
        <f t="shared" si="10"/>
        <v>0.26386425446375794</v>
      </c>
      <c r="W67" s="133">
        <f t="shared" si="10"/>
        <v>0.29599914037035702</v>
      </c>
      <c r="X67" s="55">
        <f>+X66/S13-1</f>
        <v>0.19466737414605029</v>
      </c>
      <c r="Y67" s="55">
        <f>+Y66/T13-1</f>
        <v>5.521029870497518E-2</v>
      </c>
      <c r="Z67" s="55">
        <f>+Z66/U13-1</f>
        <v>0.11336629672652054</v>
      </c>
      <c r="AA67" s="55">
        <f>+AA66/V13-1</f>
        <v>0.13889574248596381</v>
      </c>
      <c r="AB67" s="133">
        <f>+AB66/W13-1</f>
        <v>0.12442710464146756</v>
      </c>
      <c r="AC67" s="55">
        <f t="shared" si="10"/>
        <v>0.20002487386005985</v>
      </c>
      <c r="AD67" s="55">
        <f t="shared" si="10"/>
        <v>0.22607078074032794</v>
      </c>
      <c r="AE67" s="55">
        <f t="shared" si="10"/>
        <v>0.2758480336343192</v>
      </c>
      <c r="AF67" s="55">
        <f t="shared" si="10"/>
        <v>0.31578593239871888</v>
      </c>
      <c r="AG67" s="133">
        <f t="shared" si="10"/>
        <v>0.25961046591643266</v>
      </c>
    </row>
    <row r="68" spans="1:33" s="42" customFormat="1" outlineLevel="1" x14ac:dyDescent="0.3">
      <c r="A68" s="131"/>
      <c r="B68" s="189" t="s">
        <v>104</v>
      </c>
      <c r="C68" s="190"/>
      <c r="D68" s="55"/>
      <c r="E68" s="55"/>
      <c r="F68" s="55"/>
      <c r="G68" s="55"/>
      <c r="H68" s="53"/>
      <c r="I68" s="55"/>
      <c r="J68" s="55"/>
      <c r="K68" s="55"/>
      <c r="L68" s="55"/>
      <c r="M68" s="53"/>
      <c r="N68" s="55"/>
      <c r="O68" s="55"/>
      <c r="P68" s="55"/>
      <c r="Q68" s="55"/>
      <c r="R68" s="54"/>
      <c r="S68" s="55">
        <f>+S66/Q66-1</f>
        <v>-9.7439462402966082E-2</v>
      </c>
      <c r="T68" s="55">
        <f>+T66/S66-1</f>
        <v>0.12066752246469825</v>
      </c>
      <c r="U68" s="55">
        <f>+U66/T66-1</f>
        <v>2.8006872852233577E-2</v>
      </c>
      <c r="V68" s="55">
        <f>+V66/U66-1</f>
        <v>0.19098557022675355</v>
      </c>
      <c r="W68" s="133"/>
      <c r="X68" s="55"/>
      <c r="Y68" s="55"/>
      <c r="Z68" s="55"/>
      <c r="AA68" s="55"/>
      <c r="AB68" s="53"/>
      <c r="AC68" s="55"/>
      <c r="AD68" s="55"/>
      <c r="AE68" s="55"/>
      <c r="AF68" s="55"/>
      <c r="AG68" s="53"/>
    </row>
    <row r="69" spans="1:33" s="42" customFormat="1" outlineLevel="1" x14ac:dyDescent="0.3">
      <c r="A69" s="131"/>
      <c r="B69" s="70" t="s">
        <v>91</v>
      </c>
      <c r="C69" s="71"/>
      <c r="D69" s="55">
        <f t="shared" ref="D69:R69" si="11">+D15/D13</f>
        <v>0.84429580081753997</v>
      </c>
      <c r="E69" s="55">
        <f t="shared" si="11"/>
        <v>0.8576755748912368</v>
      </c>
      <c r="F69" s="55">
        <f t="shared" si="11"/>
        <v>0.85922122379118526</v>
      </c>
      <c r="G69" s="55">
        <f t="shared" si="11"/>
        <v>0.88103076399137248</v>
      </c>
      <c r="H69" s="53">
        <f t="shared" si="11"/>
        <v>0.86290614371517471</v>
      </c>
      <c r="I69" s="55">
        <f t="shared" si="11"/>
        <v>0.85570219123505975</v>
      </c>
      <c r="J69" s="55">
        <f t="shared" si="11"/>
        <v>0.86728891749812254</v>
      </c>
      <c r="K69" s="55">
        <f t="shared" si="11"/>
        <v>0.85979860573199074</v>
      </c>
      <c r="L69" s="55">
        <f t="shared" si="11"/>
        <v>0.87580943570767811</v>
      </c>
      <c r="M69" s="53">
        <f t="shared" si="11"/>
        <v>0.86581556096721024</v>
      </c>
      <c r="N69" s="55">
        <f t="shared" si="11"/>
        <v>0.8389603877653351</v>
      </c>
      <c r="O69" s="55">
        <f t="shared" si="11"/>
        <v>0.83266570931902351</v>
      </c>
      <c r="P69" s="55">
        <f t="shared" si="11"/>
        <v>0.82385080498288044</v>
      </c>
      <c r="Q69" s="55">
        <f t="shared" si="11"/>
        <v>0.83469315360056762</v>
      </c>
      <c r="R69" s="54">
        <f t="shared" si="11"/>
        <v>0.8324617643898421</v>
      </c>
      <c r="S69" s="130">
        <f t="shared" ref="S69:X69" si="12">+S15/S13</f>
        <v>0.81322544272733299</v>
      </c>
      <c r="T69" s="55">
        <f t="shared" si="12"/>
        <v>0.80415729006277392</v>
      </c>
      <c r="U69" s="55">
        <f t="shared" si="12"/>
        <v>0.82126671198731027</v>
      </c>
      <c r="V69" s="55">
        <f t="shared" si="12"/>
        <v>0.83436106631249407</v>
      </c>
      <c r="W69" s="133">
        <f t="shared" si="12"/>
        <v>0.81936998741106415</v>
      </c>
      <c r="X69" s="130">
        <f t="shared" si="12"/>
        <v>0.80498393189378137</v>
      </c>
      <c r="Y69" s="60">
        <v>0.82</v>
      </c>
      <c r="Z69" s="60">
        <v>0.81499999999999995</v>
      </c>
      <c r="AA69" s="60">
        <v>0.81</v>
      </c>
      <c r="AB69" s="54">
        <f>+AB15/AB13</f>
        <v>0.81233773078593796</v>
      </c>
      <c r="AC69" s="60">
        <v>0.80500000000000005</v>
      </c>
      <c r="AD69" s="60">
        <v>0.81499999999999995</v>
      </c>
      <c r="AE69" s="60">
        <v>0.81499999999999995</v>
      </c>
      <c r="AF69" s="60">
        <v>0.81499999999999995</v>
      </c>
      <c r="AG69" s="54">
        <f>+AG15/AG13</f>
        <v>0.81284256639434893</v>
      </c>
    </row>
    <row r="70" spans="1:33" s="42" customFormat="1" outlineLevel="1" x14ac:dyDescent="0.3">
      <c r="A70" s="131"/>
      <c r="B70" s="70" t="s">
        <v>92</v>
      </c>
      <c r="C70" s="71"/>
      <c r="D70" s="55">
        <f t="shared" ref="D70:R70" si="13">+D17/D13</f>
        <v>0.24953548866592346</v>
      </c>
      <c r="E70" s="55">
        <f t="shared" si="13"/>
        <v>0.22731510254816656</v>
      </c>
      <c r="F70" s="55">
        <f t="shared" si="13"/>
        <v>0.21951219512195122</v>
      </c>
      <c r="G70" s="55">
        <f t="shared" si="13"/>
        <v>0.17868089453967534</v>
      </c>
      <c r="H70" s="53">
        <f t="shared" si="13"/>
        <v>0.21416166148057023</v>
      </c>
      <c r="I70" s="55">
        <f t="shared" si="13"/>
        <v>0.22833665338645417</v>
      </c>
      <c r="J70" s="55">
        <f t="shared" si="13"/>
        <v>0.20587919751099668</v>
      </c>
      <c r="K70" s="55">
        <f t="shared" si="13"/>
        <v>0.19868319132455461</v>
      </c>
      <c r="L70" s="55">
        <f t="shared" si="13"/>
        <v>0.15024668516805428</v>
      </c>
      <c r="M70" s="53">
        <f t="shared" si="13"/>
        <v>0.19073623102846038</v>
      </c>
      <c r="N70" s="55">
        <f t="shared" si="13"/>
        <v>0.18702991810128697</v>
      </c>
      <c r="O70" s="55">
        <f t="shared" si="13"/>
        <v>0.19068853450230519</v>
      </c>
      <c r="P70" s="55">
        <f t="shared" si="13"/>
        <v>0.19356013695636337</v>
      </c>
      <c r="Q70" s="55">
        <f t="shared" si="13"/>
        <v>0.16879508099798984</v>
      </c>
      <c r="R70" s="54">
        <f t="shared" si="13"/>
        <v>0.18397865253053475</v>
      </c>
      <c r="S70" s="55">
        <f>+S17/S13</f>
        <v>0.1896929097300524</v>
      </c>
      <c r="T70" s="55">
        <f>+T17/T13</f>
        <v>0.19631647518654508</v>
      </c>
      <c r="U70" s="55">
        <f>+U17/U13</f>
        <v>0.20099705415816904</v>
      </c>
      <c r="V70" s="55">
        <f>+V17/V13</f>
        <v>0.1839009581633621</v>
      </c>
      <c r="W70" s="133"/>
      <c r="X70" s="55">
        <f>+X17/X13</f>
        <v>0.22636297006258105</v>
      </c>
      <c r="Y70" s="60">
        <v>0.24</v>
      </c>
      <c r="Z70" s="60">
        <v>0.23499999999999999</v>
      </c>
      <c r="AA70" s="60">
        <v>0.22</v>
      </c>
      <c r="AB70" s="54"/>
      <c r="AC70" s="60">
        <v>0.23499999999999999</v>
      </c>
      <c r="AD70" s="60">
        <v>0.22</v>
      </c>
      <c r="AE70" s="60">
        <f>AD70</f>
        <v>0.22</v>
      </c>
      <c r="AF70" s="60">
        <f>AE70</f>
        <v>0.22</v>
      </c>
      <c r="AG70" s="54"/>
    </row>
    <row r="71" spans="1:33" s="42" customFormat="1" outlineLevel="1" x14ac:dyDescent="0.3">
      <c r="A71" s="131"/>
      <c r="B71" s="70" t="s">
        <v>93</v>
      </c>
      <c r="C71" s="71"/>
      <c r="D71" s="55">
        <f t="shared" ref="D71:R71" si="14">+D18/D13</f>
        <v>0.15347454477889261</v>
      </c>
      <c r="E71" s="55">
        <f t="shared" si="14"/>
        <v>0.1396830329397141</v>
      </c>
      <c r="F71" s="55">
        <f t="shared" si="14"/>
        <v>0.13193552988161461</v>
      </c>
      <c r="G71" s="55">
        <f t="shared" si="14"/>
        <v>0.12736973549778635</v>
      </c>
      <c r="H71" s="53">
        <f t="shared" si="14"/>
        <v>0.13647876112598595</v>
      </c>
      <c r="I71" s="55">
        <f t="shared" si="14"/>
        <v>0.13159860557768924</v>
      </c>
      <c r="J71" s="55">
        <f t="shared" si="14"/>
        <v>0.12058791975109967</v>
      </c>
      <c r="K71" s="55">
        <f t="shared" si="14"/>
        <v>0.11328427575522851</v>
      </c>
      <c r="L71" s="55">
        <f t="shared" si="14"/>
        <v>0.1059204440333025</v>
      </c>
      <c r="M71" s="53">
        <f t="shared" si="14"/>
        <v>0.1162275846800974</v>
      </c>
      <c r="N71" s="55">
        <f t="shared" si="14"/>
        <v>0.13329433394618084</v>
      </c>
      <c r="O71" s="55">
        <f t="shared" si="14"/>
        <v>0.14020104300506386</v>
      </c>
      <c r="P71" s="55">
        <f t="shared" si="14"/>
        <v>0.14045312158519704</v>
      </c>
      <c r="Q71" s="55">
        <f t="shared" si="14"/>
        <v>0.14585550431595129</v>
      </c>
      <c r="R71" s="54">
        <f t="shared" si="14"/>
        <v>0.14049571976073641</v>
      </c>
      <c r="S71" s="55">
        <f>+S18/S13</f>
        <v>0.13397890827087616</v>
      </c>
      <c r="T71" s="55">
        <f>+T18/T13</f>
        <v>0.14295866398199691</v>
      </c>
      <c r="U71" s="55">
        <f>+U18/U13</f>
        <v>0.13686834353047814</v>
      </c>
      <c r="V71" s="55">
        <f>+V18/V13</f>
        <v>0.14353476899724885</v>
      </c>
      <c r="W71" s="133"/>
      <c r="X71" s="55">
        <f>+X18/X13</f>
        <v>0.15712916502226984</v>
      </c>
      <c r="Y71" s="60">
        <v>0.17</v>
      </c>
      <c r="Z71" s="60">
        <v>0.16500000000000001</v>
      </c>
      <c r="AA71" s="60">
        <v>0.15</v>
      </c>
      <c r="AB71" s="151"/>
      <c r="AC71" s="60">
        <v>0.16400000000000001</v>
      </c>
      <c r="AD71" s="60">
        <v>0.16</v>
      </c>
      <c r="AE71" s="60">
        <f>AD71</f>
        <v>0.16</v>
      </c>
      <c r="AF71" s="60">
        <v>0.16</v>
      </c>
      <c r="AG71" s="54"/>
    </row>
    <row r="72" spans="1:33" s="42" customFormat="1" outlineLevel="1" x14ac:dyDescent="0.3">
      <c r="A72" s="131"/>
      <c r="B72" s="70" t="s">
        <v>94</v>
      </c>
      <c r="C72" s="71"/>
      <c r="D72" s="55">
        <f t="shared" ref="D72:R72" si="15">+D19/D13</f>
        <v>6.8004459308807136E-2</v>
      </c>
      <c r="E72" s="55">
        <f t="shared" si="15"/>
        <v>6.401491609695463E-2</v>
      </c>
      <c r="F72" s="55">
        <f t="shared" si="15"/>
        <v>6.2473256311510482E-2</v>
      </c>
      <c r="G72" s="55">
        <f t="shared" si="15"/>
        <v>5.8462935634010671E-2</v>
      </c>
      <c r="H72" s="53">
        <f t="shared" si="15"/>
        <v>6.2631159997105432E-2</v>
      </c>
      <c r="I72" s="55">
        <f t="shared" si="15"/>
        <v>8.1548804780876491E-2</v>
      </c>
      <c r="J72" s="55">
        <f t="shared" si="15"/>
        <v>6.8662160712369913E-2</v>
      </c>
      <c r="K72" s="55">
        <f t="shared" si="15"/>
        <v>5.1897753679318356E-2</v>
      </c>
      <c r="L72" s="55">
        <f t="shared" si="15"/>
        <v>5.2883132901634287E-2</v>
      </c>
      <c r="M72" s="53">
        <f t="shared" si="15"/>
        <v>6.1914249870858237E-2</v>
      </c>
      <c r="N72" s="55">
        <f t="shared" si="15"/>
        <v>6.3262577302356682E-2</v>
      </c>
      <c r="O72" s="55">
        <f t="shared" si="15"/>
        <v>5.865013982314262E-2</v>
      </c>
      <c r="P72" s="55">
        <f t="shared" si="15"/>
        <v>6.8696729074087567E-2</v>
      </c>
      <c r="Q72" s="55">
        <f t="shared" si="15"/>
        <v>5.7703677426983561E-2</v>
      </c>
      <c r="R72" s="54">
        <f t="shared" si="15"/>
        <v>6.1821698484902751E-2</v>
      </c>
      <c r="S72" s="55">
        <f>+S19/S13</f>
        <v>0.26954964515487168</v>
      </c>
      <c r="T72" s="55">
        <f>+T19/T13</f>
        <v>0.19092739547554186</v>
      </c>
      <c r="U72" s="55">
        <f>+U19/U13</f>
        <v>7.6365284387038296E-2</v>
      </c>
      <c r="V72" s="55">
        <f>+V19/V13</f>
        <v>8.675647471776872E-2</v>
      </c>
      <c r="W72" s="133"/>
      <c r="X72" s="55">
        <f>+X19/X13</f>
        <v>8.9248463663528219E-2</v>
      </c>
      <c r="Y72" s="60">
        <v>0.12</v>
      </c>
      <c r="Z72" s="60">
        <v>9.5000000000000001E-2</v>
      </c>
      <c r="AA72" s="60">
        <v>7.9000000000000001E-2</v>
      </c>
      <c r="AB72" s="54"/>
      <c r="AC72" s="60">
        <v>0.09</v>
      </c>
      <c r="AD72" s="60">
        <v>0.08</v>
      </c>
      <c r="AE72" s="60">
        <f>AD72</f>
        <v>0.08</v>
      </c>
      <c r="AF72" s="60">
        <v>7.3999999999999996E-2</v>
      </c>
      <c r="AG72" s="54"/>
    </row>
    <row r="73" spans="1:33" s="42" customFormat="1" outlineLevel="1" x14ac:dyDescent="0.3">
      <c r="A73" s="131"/>
      <c r="B73" s="145" t="s">
        <v>11</v>
      </c>
      <c r="C73" s="146"/>
      <c r="D73" s="51"/>
      <c r="E73" s="51"/>
      <c r="F73" s="51"/>
      <c r="G73" s="51"/>
      <c r="H73" s="30">
        <f>H14+H17+H18+H19</f>
        <v>15211</v>
      </c>
      <c r="I73" s="51"/>
      <c r="J73" s="51"/>
      <c r="K73" s="51"/>
      <c r="L73" s="51"/>
      <c r="M73" s="30">
        <f>M14+M17+M18+M19</f>
        <v>20451</v>
      </c>
      <c r="N73" s="51"/>
      <c r="O73" s="51"/>
      <c r="P73" s="51"/>
      <c r="Q73" s="51"/>
      <c r="R73" s="30">
        <f>R14+R17+R18+R19</f>
        <v>30925</v>
      </c>
      <c r="S73" s="51"/>
      <c r="T73" s="51"/>
      <c r="U73" s="51"/>
      <c r="V73" s="51"/>
      <c r="W73" s="30">
        <f>W14+W17+W18+W19</f>
        <v>46711</v>
      </c>
      <c r="X73" s="51"/>
      <c r="Y73" s="51"/>
      <c r="Z73" s="51"/>
      <c r="AA73" s="51"/>
      <c r="AB73" s="109">
        <f>AB14+AB17+AB18+AB19</f>
        <v>52580.831132801039</v>
      </c>
      <c r="AC73" s="51"/>
      <c r="AD73" s="51"/>
      <c r="AE73" s="51"/>
      <c r="AF73" s="51"/>
      <c r="AG73" s="30">
        <f>AG14+AG17+AG18+AG19</f>
        <v>64126.434365672496</v>
      </c>
    </row>
    <row r="74" spans="1:33" s="42" customFormat="1" outlineLevel="1" x14ac:dyDescent="0.3">
      <c r="A74" s="131"/>
      <c r="B74" s="70" t="s">
        <v>100</v>
      </c>
      <c r="C74" s="71"/>
      <c r="D74" s="55"/>
      <c r="E74" s="55"/>
      <c r="F74" s="55"/>
      <c r="G74" s="55"/>
      <c r="H74" s="53"/>
      <c r="I74" s="55">
        <f>+(I14+I17+I18+I19)/(G14+G17+G18+G19)-1</f>
        <v>0.10471941770368631</v>
      </c>
      <c r="J74" s="55">
        <f>+(J14+J17+J18+J19)/(H14+H17+H18+H19)-1</f>
        <v>-0.67654986522911054</v>
      </c>
      <c r="K74" s="55">
        <f>+(K14+K17+K18+K19)/(I14+I17+I18+I19)-1</f>
        <v>0.10648246546227425</v>
      </c>
      <c r="L74" s="55">
        <f>+(L14+L17+L18+L19)/(J14+J17+J18+J19)-1</f>
        <v>0.14227642276422769</v>
      </c>
      <c r="M74" s="53">
        <f>+(M14+M17+M18+M19)/(H14+H17+H18+H19)-1</f>
        <v>0.3444875419104596</v>
      </c>
      <c r="N74" s="55">
        <f>+(N14+N17+N18+N19)/(L14+L17+L18+L19)-1</f>
        <v>0.159608540925267</v>
      </c>
      <c r="O74" s="55">
        <f>+(O14+O17+O18+O19)/(M14+M17+M18+M19)-1</f>
        <v>-0.63972421886460318</v>
      </c>
      <c r="P74" s="55">
        <f>+(P14+P17+P18+P19)/(N14+N17+N18+N19)-1</f>
        <v>0.21927267147460494</v>
      </c>
      <c r="Q74" s="55">
        <f>+(Q14+Q17+Q18+Q19)/(O14+O17+O18+O19)-1</f>
        <v>0.23425624321389793</v>
      </c>
      <c r="R74" s="53">
        <f>+(R14+R17+R18+R19)/(M14+M17+M18+M19)-1</f>
        <v>0.5121509950613663</v>
      </c>
      <c r="S74" s="55">
        <f>+(S14+S17+S18+S19)/(Q14+Q17+Q18+Q19)-1</f>
        <v>0.29316032548933357</v>
      </c>
      <c r="T74" s="55">
        <f>+(T14+T17+T18+T19)/(R14+R17+R18+R19)-1</f>
        <v>-0.60355699272433305</v>
      </c>
      <c r="U74" s="55">
        <f>+(U14+U17+U18+U19)/(S14+S17+S18+S19)-1</f>
        <v>-0.10994897959183669</v>
      </c>
      <c r="V74" s="55">
        <f>+(V14+V17+V18+V19)/(T14+T17+T18+T19)-1</f>
        <v>-2.9363784665579207E-3</v>
      </c>
      <c r="W74" s="150">
        <f>+(W14+W17+W18+W19)/(R14+R17+R18+R19)-1</f>
        <v>0.51046079223928853</v>
      </c>
      <c r="X74" s="55">
        <f>+(X14+X17+X18+X19)/(V14+V17+V18+V19)-1</f>
        <v>-3.1086387434554941E-2</v>
      </c>
      <c r="Y74" s="55">
        <f>+(Y14+Y17+Y18+Y19)/(W14+W17+W18+W19)-1</f>
        <v>-0.73349682978759023</v>
      </c>
      <c r="Z74" s="55">
        <f>+(Z14+Z17+Z18+Z19)/(X14+X17+X18+X19)-1</f>
        <v>0.11013225865208098</v>
      </c>
      <c r="AA74" s="55">
        <f>+(AA14+AA17+AA18+AA19)/(Y14+Y17+Y18+Y19)-1</f>
        <v>0.21618166687568219</v>
      </c>
      <c r="AB74" s="53">
        <f>+(AB14+AB17+AB18+AB19)/(W14+W17+W18+W19)-1</f>
        <v>0.12566271612256297</v>
      </c>
      <c r="AC74" s="55">
        <f>+(AC14+AC17+AC18+AC19)/(AA14+AA17+AA18+AA19)-1</f>
        <v>-4.0632234586196803E-2</v>
      </c>
      <c r="AD74" s="55">
        <f>+(AD14+AD17+AD18+AD19)/(AB14+AB17+AB18+AB19)-1</f>
        <v>-0.73691280914472168</v>
      </c>
      <c r="AE74" s="55">
        <f>+(AE14+AE17+AE18+AE19)/(AC14+AC17+AC18+AC19)-1</f>
        <v>9.3293182335441482E-2</v>
      </c>
      <c r="AF74" s="55">
        <f>+(AF14+AF17+AF18+AF19)/(AD14+AD17+AD18+AD19)-1</f>
        <v>0.43774206703014951</v>
      </c>
      <c r="AG74" s="53">
        <f>+(AG14+AG17+AG18+AG19)/(AB14+AB17+AB18+AB19)-1</f>
        <v>0.21957818056757694</v>
      </c>
    </row>
    <row r="75" spans="1:33" s="42" customFormat="1" outlineLevel="1" x14ac:dyDescent="0.3">
      <c r="A75" s="131"/>
      <c r="B75" s="189" t="s">
        <v>4</v>
      </c>
      <c r="C75" s="190"/>
      <c r="D75" s="51">
        <f t="shared" ref="D75:AG75" si="16">D21/D13</f>
        <v>0.37328130806391674</v>
      </c>
      <c r="E75" s="51">
        <f t="shared" si="16"/>
        <v>0.42666252330640148</v>
      </c>
      <c r="F75" s="51">
        <f t="shared" si="16"/>
        <v>0.445300242476109</v>
      </c>
      <c r="G75" s="51">
        <f t="shared" si="16"/>
        <v>0.51651719831990006</v>
      </c>
      <c r="H75" s="54">
        <f t="shared" si="16"/>
        <v>0.44963456111151312</v>
      </c>
      <c r="I75" s="51">
        <f t="shared" si="16"/>
        <v>0.41421812749003983</v>
      </c>
      <c r="J75" s="51">
        <f t="shared" si="16"/>
        <v>0.47215963952365625</v>
      </c>
      <c r="K75" s="51">
        <f t="shared" si="16"/>
        <v>0.49593338497288925</v>
      </c>
      <c r="L75" s="51">
        <f t="shared" si="16"/>
        <v>0.56675917360468697</v>
      </c>
      <c r="M75" s="54">
        <f t="shared" si="16"/>
        <v>0.49693749538779425</v>
      </c>
      <c r="N75" s="51">
        <f t="shared" si="16"/>
        <v>0.45537355841551064</v>
      </c>
      <c r="O75" s="51">
        <f t="shared" si="16"/>
        <v>0.44312599198851182</v>
      </c>
      <c r="P75" s="51">
        <f t="shared" si="16"/>
        <v>0.42114081736723247</v>
      </c>
      <c r="Q75" s="51">
        <f t="shared" si="16"/>
        <v>0.46233889085964291</v>
      </c>
      <c r="R75" s="54">
        <f t="shared" si="16"/>
        <v>0.44616569361366809</v>
      </c>
      <c r="S75" s="51">
        <f t="shared" si="16"/>
        <v>0.22000397957153281</v>
      </c>
      <c r="T75" s="51">
        <f t="shared" si="16"/>
        <v>0.27395475541869002</v>
      </c>
      <c r="U75" s="51">
        <f t="shared" si="16"/>
        <v>0.40703602991162474</v>
      </c>
      <c r="V75" s="51">
        <f t="shared" si="16"/>
        <v>0.42016886443411439</v>
      </c>
      <c r="W75" s="133">
        <f t="shared" si="16"/>
        <v>0.33927889443682191</v>
      </c>
      <c r="X75" s="51">
        <f t="shared" si="16"/>
        <v>0.33224333314540228</v>
      </c>
      <c r="Y75" s="51">
        <f t="shared" si="16"/>
        <v>0.29000000000000004</v>
      </c>
      <c r="Z75" s="51">
        <f t="shared" si="16"/>
        <v>0.31999999999999995</v>
      </c>
      <c r="AA75" s="51">
        <f t="shared" si="16"/>
        <v>0.36100000000000004</v>
      </c>
      <c r="AB75" s="54">
        <f t="shared" si="16"/>
        <v>0.32846206819591339</v>
      </c>
      <c r="AC75" s="51">
        <f t="shared" si="16"/>
        <v>0.316</v>
      </c>
      <c r="AD75" s="51">
        <f t="shared" si="16"/>
        <v>0.35499999999999987</v>
      </c>
      <c r="AE75" s="51">
        <f t="shared" si="16"/>
        <v>0.35499999999999998</v>
      </c>
      <c r="AF75" s="51">
        <f t="shared" si="16"/>
        <v>0.36099999999999999</v>
      </c>
      <c r="AG75" s="54">
        <f t="shared" si="16"/>
        <v>0.34848335672273051</v>
      </c>
    </row>
    <row r="76" spans="1:33" s="42" customFormat="1" outlineLevel="1" x14ac:dyDescent="0.3">
      <c r="A76" s="131"/>
      <c r="B76" s="189" t="s">
        <v>2</v>
      </c>
      <c r="C76" s="190"/>
      <c r="D76" s="51">
        <f t="shared" ref="D76:X76" si="17">-D24/D23</f>
        <v>0.26876513317191281</v>
      </c>
      <c r="E76" s="51">
        <f t="shared" si="17"/>
        <v>0.25704989154013014</v>
      </c>
      <c r="F76" s="51">
        <f t="shared" si="17"/>
        <v>0.24928999684443043</v>
      </c>
      <c r="G76" s="51">
        <f t="shared" si="17"/>
        <v>5.422753430721558E-2</v>
      </c>
      <c r="H76" s="54">
        <f t="shared" si="17"/>
        <v>0.18381530595941845</v>
      </c>
      <c r="I76" s="51">
        <f t="shared" si="17"/>
        <v>0.10093896713615023</v>
      </c>
      <c r="J76" s="51">
        <f t="shared" si="17"/>
        <v>0.13235294117647059</v>
      </c>
      <c r="K76" s="51">
        <f t="shared" si="17"/>
        <v>0.10103132161955691</v>
      </c>
      <c r="L76" s="51">
        <f t="shared" si="17"/>
        <v>0.42803537925489143</v>
      </c>
      <c r="M76" s="54">
        <f t="shared" si="17"/>
        <v>0.22632805671554823</v>
      </c>
      <c r="N76" s="51">
        <f t="shared" si="17"/>
        <v>0.11087344028520499</v>
      </c>
      <c r="O76" s="51">
        <f t="shared" si="17"/>
        <v>0.12985685071574643</v>
      </c>
      <c r="P76" s="51">
        <f t="shared" si="17"/>
        <v>0.13108930987821379</v>
      </c>
      <c r="Q76" s="51">
        <f t="shared" si="17"/>
        <v>0.13662024840045164</v>
      </c>
      <c r="R76" s="54">
        <f t="shared" si="17"/>
        <v>0.12807065967430306</v>
      </c>
      <c r="S76" s="130">
        <f t="shared" si="17"/>
        <v>0.30241240666283747</v>
      </c>
      <c r="T76" s="51">
        <f t="shared" si="17"/>
        <v>0.45860927152317882</v>
      </c>
      <c r="U76" s="51">
        <f t="shared" si="17"/>
        <v>0.16891799699822621</v>
      </c>
      <c r="V76" s="51">
        <f t="shared" si="17"/>
        <v>0.19849492856363835</v>
      </c>
      <c r="W76" s="133">
        <f t="shared" si="17"/>
        <v>0.25499758181525067</v>
      </c>
      <c r="X76" s="130">
        <f t="shared" si="17"/>
        <v>0.16362395495649207</v>
      </c>
      <c r="Y76" s="59">
        <v>0.18</v>
      </c>
      <c r="Z76" s="59">
        <v>0.18</v>
      </c>
      <c r="AA76" s="59">
        <v>0.18</v>
      </c>
      <c r="AB76" s="152">
        <f>-AB24/AB23</f>
        <v>0.17633176646228813</v>
      </c>
      <c r="AC76" s="59">
        <f>AVERAGE(X76,Y76,Z76,AA76)</f>
        <v>0.175905988739123</v>
      </c>
      <c r="AD76" s="59">
        <f>AVERAGE(Y76,Z76,AA76,AC76)+0.246782050130681%</f>
        <v>0.18144431768608757</v>
      </c>
      <c r="AE76" s="59">
        <f>AVERAGE(Z76,AA76,AC76,AD76)+0.246782050130681%</f>
        <v>0.18180539710760946</v>
      </c>
      <c r="AF76" s="59">
        <f>AVERAGE(AA76,AC76,AD76,AE76)+0.246782050130681%</f>
        <v>0.18225674638451181</v>
      </c>
      <c r="AG76" s="54">
        <f>-AG24/AG23</f>
        <v>0.18071707681719973</v>
      </c>
    </row>
    <row r="77" spans="1:33" ht="17.399999999999999" x14ac:dyDescent="0.45">
      <c r="A77" s="124"/>
      <c r="B77" s="181" t="s">
        <v>18</v>
      </c>
      <c r="C77" s="182"/>
      <c r="D77" s="27" t="s">
        <v>49</v>
      </c>
      <c r="E77" s="27" t="s">
        <v>50</v>
      </c>
      <c r="F77" s="27" t="s">
        <v>51</v>
      </c>
      <c r="G77" s="27" t="s">
        <v>52</v>
      </c>
      <c r="H77" s="80" t="s">
        <v>53</v>
      </c>
      <c r="I77" s="27" t="s">
        <v>40</v>
      </c>
      <c r="J77" s="27" t="s">
        <v>41</v>
      </c>
      <c r="K77" s="27" t="s">
        <v>42</v>
      </c>
      <c r="L77" s="27" t="s">
        <v>43</v>
      </c>
      <c r="M77" s="80" t="s">
        <v>44</v>
      </c>
      <c r="N77" s="27" t="s">
        <v>31</v>
      </c>
      <c r="O77" s="27" t="s">
        <v>30</v>
      </c>
      <c r="P77" s="27" t="s">
        <v>29</v>
      </c>
      <c r="Q77" s="27" t="s">
        <v>28</v>
      </c>
      <c r="R77" s="80" t="s">
        <v>27</v>
      </c>
      <c r="S77" s="27" t="s">
        <v>119</v>
      </c>
      <c r="T77" s="27" t="s">
        <v>125</v>
      </c>
      <c r="U77" s="27" t="s">
        <v>126</v>
      </c>
      <c r="V77" s="27" t="s">
        <v>127</v>
      </c>
      <c r="W77" s="80" t="s">
        <v>128</v>
      </c>
      <c r="X77" s="27" t="s">
        <v>129</v>
      </c>
      <c r="Y77" s="25" t="s">
        <v>106</v>
      </c>
      <c r="Z77" s="25" t="s">
        <v>107</v>
      </c>
      <c r="AA77" s="25" t="s">
        <v>108</v>
      </c>
      <c r="AB77" s="82" t="s">
        <v>109</v>
      </c>
      <c r="AC77" s="25" t="s">
        <v>110</v>
      </c>
      <c r="AD77" s="25" t="s">
        <v>111</v>
      </c>
      <c r="AE77" s="25" t="s">
        <v>112</v>
      </c>
      <c r="AF77" s="25" t="s">
        <v>113</v>
      </c>
      <c r="AG77" s="82" t="s">
        <v>114</v>
      </c>
    </row>
    <row r="78" spans="1:33" outlineLevel="1" x14ac:dyDescent="0.3">
      <c r="A78" s="124"/>
      <c r="B78" s="189" t="s">
        <v>12</v>
      </c>
      <c r="C78" s="190"/>
      <c r="D78" s="51"/>
      <c r="E78" s="51"/>
      <c r="F78" s="51"/>
      <c r="G78" s="51"/>
      <c r="H78" s="53"/>
      <c r="I78" s="51">
        <f>(I28+I82)/G28-1</f>
        <v>3.7956280360860184E-3</v>
      </c>
      <c r="J78" s="51">
        <f>(J28+J82)/I28-1</f>
        <v>3.5230024213075417E-3</v>
      </c>
      <c r="K78" s="51">
        <f>(K28+K82)/J28-1</f>
        <v>2.6834940513578154E-3</v>
      </c>
      <c r="L78" s="51">
        <f>(L28+L82)/K28-1</f>
        <v>3.0440486794380828E-3</v>
      </c>
      <c r="M78" s="53"/>
      <c r="N78" s="51">
        <f>(N28+N82)/L28-1</f>
        <v>3.4813988299604581E-3</v>
      </c>
      <c r="O78" s="51">
        <f>(O28+O82)/N28-1</f>
        <v>2.5467086450188248E-3</v>
      </c>
      <c r="P78" s="51">
        <f>(P28+P82)/O28-1</f>
        <v>4.9405360145176047E-3</v>
      </c>
      <c r="Q78" s="51">
        <f>(Q28+Q82)/P28-1</f>
        <v>4.4046487651729915E-3</v>
      </c>
      <c r="R78" s="23"/>
      <c r="S78" s="51">
        <f>(S28+S82)/Q28-1</f>
        <v>-4.4787604456824059E-3</v>
      </c>
      <c r="T78" s="51">
        <f>(T28+T82)/S28-1</f>
        <v>1.8063725490196081E-3</v>
      </c>
      <c r="U78" s="51">
        <f>(U28+U82)/T28-1</f>
        <v>1.7723292469351559E-3</v>
      </c>
      <c r="V78" s="51">
        <f>(V28+V82)/U28-1</f>
        <v>2.3545900490538063E-3</v>
      </c>
      <c r="W78" s="23"/>
      <c r="X78" s="51">
        <f>(X28+X82)/V28-1</f>
        <v>1.1562718990889564E-3</v>
      </c>
      <c r="Y78" s="60">
        <f>AVERAGE(T78,U78,V78,X78)</f>
        <v>1.7723909360243817E-3</v>
      </c>
      <c r="Z78" s="60">
        <f>AVERAGE(U78,V78,X78,Y78)</f>
        <v>1.7638955327755751E-3</v>
      </c>
      <c r="AA78" s="60">
        <f>AVERAGE(V78,X78,Y78,Z78)</f>
        <v>1.7617871042356799E-3</v>
      </c>
      <c r="AB78" s="23"/>
      <c r="AC78" s="60">
        <f>AVERAGE(X78,Y78,Z78,AA78)</f>
        <v>1.6135863680311483E-3</v>
      </c>
      <c r="AD78" s="60">
        <f>AVERAGE(Y78,Z78,AA78,AC78)</f>
        <v>1.7279149852666962E-3</v>
      </c>
      <c r="AE78" s="60">
        <f>AVERAGE(Z78,AA78,AC78,AD78)</f>
        <v>1.7167959975772748E-3</v>
      </c>
      <c r="AF78" s="60">
        <f>AVERAGE(AA78,AC78,AD78,AE78)</f>
        <v>1.7050211137776996E-3</v>
      </c>
      <c r="AG78" s="23"/>
    </row>
    <row r="79" spans="1:33" outlineLevel="1" x14ac:dyDescent="0.3">
      <c r="A79" s="124"/>
      <c r="B79" s="189" t="s">
        <v>13</v>
      </c>
      <c r="C79" s="190"/>
      <c r="D79" s="51"/>
      <c r="E79" s="51"/>
      <c r="F79" s="51"/>
      <c r="G79" s="51"/>
      <c r="H79" s="53"/>
      <c r="I79" s="51">
        <f>(I29+I82)/G29-1</f>
        <v>2.7021783526208765E-3</v>
      </c>
      <c r="J79" s="51">
        <f>(J29+J82)/I29-1</f>
        <v>2.7802309782607448E-3</v>
      </c>
      <c r="K79" s="51">
        <f>(K29+K82)/J29-1</f>
        <v>2.9759853435913364E-3</v>
      </c>
      <c r="L79" s="51">
        <f>(L29+L82)/K29-1</f>
        <v>1.2990248190420939E-3</v>
      </c>
      <c r="M79" s="53"/>
      <c r="N79" s="51">
        <f>(N29+N82)/L29-1</f>
        <v>7.1781530084469303E-4</v>
      </c>
      <c r="O79" s="51">
        <f>(O29+O82)/N29-1</f>
        <v>1.1547488361374203E-3</v>
      </c>
      <c r="P79" s="51">
        <f>(P29+P82)/O29-1</f>
        <v>2.4924408744124715E-3</v>
      </c>
      <c r="Q79" s="51">
        <f>(Q29+Q82)/P29-1</f>
        <v>-4.4373096892402764E-4</v>
      </c>
      <c r="R79" s="23"/>
      <c r="S79" s="51">
        <f>(S29+S82)/Q29-1</f>
        <v>-4.803534303534196E-3</v>
      </c>
      <c r="T79" s="51">
        <f>(T29+T82)/S29-1</f>
        <v>4.2380620425235271E-3</v>
      </c>
      <c r="U79" s="51">
        <f>(U29+U82)/T29-1</f>
        <v>1.7599999999999838E-3</v>
      </c>
      <c r="V79" s="51">
        <f>(V29+V82)/U29-1</f>
        <v>4.4258872651357084E-3</v>
      </c>
      <c r="W79" s="23"/>
      <c r="X79" s="51">
        <f>(X29+X82)/V29-1</f>
        <v>-1.979166666666643E-3</v>
      </c>
      <c r="Y79" s="60">
        <f>AVERAGE(T79,U79,V79,X79)+0.1%</f>
        <v>3.1111956602481441E-3</v>
      </c>
      <c r="Z79" s="60">
        <f>AVERAGE(U79,V79,X79,Y79)</f>
        <v>1.8294790646792983E-3</v>
      </c>
      <c r="AA79" s="60">
        <f>AVERAGE(V79,X79,Y79,Z79)</f>
        <v>1.846848830849127E-3</v>
      </c>
      <c r="AB79" s="23"/>
      <c r="AC79" s="60">
        <f>AVERAGE(X79,Y79,Z79,AA79)</f>
        <v>1.2020892222774817E-3</v>
      </c>
      <c r="AD79" s="60">
        <f>AVERAGE(Y79,Z79,AA79,AC79)</f>
        <v>1.997403194513513E-3</v>
      </c>
      <c r="AE79" s="60">
        <f>AVERAGE(Z79,AA79,AC79,AD79)</f>
        <v>1.718955078079855E-3</v>
      </c>
      <c r="AF79" s="60">
        <f>AVERAGE(AA79,AC79,AD79,AE79)</f>
        <v>1.691324081429994E-3</v>
      </c>
      <c r="AG79" s="23"/>
    </row>
    <row r="80" spans="1:33" outlineLevel="1" x14ac:dyDescent="0.3">
      <c r="A80" s="124"/>
      <c r="B80" s="189" t="s">
        <v>5</v>
      </c>
      <c r="C80" s="190"/>
      <c r="D80" s="61"/>
      <c r="E80" s="61"/>
      <c r="F80" s="61"/>
      <c r="G80" s="61"/>
      <c r="H80" s="65"/>
      <c r="I80" s="61">
        <v>117.82</v>
      </c>
      <c r="J80" s="61">
        <v>151.91</v>
      </c>
      <c r="K80" s="61">
        <v>166.56332334630517</v>
      </c>
      <c r="L80" s="61">
        <v>176.70181536624793</v>
      </c>
      <c r="M80" s="65"/>
      <c r="N80" s="61">
        <v>172.2070981221278</v>
      </c>
      <c r="O80" s="61">
        <v>174.6990364065723</v>
      </c>
      <c r="P80" s="61">
        <v>175.11542355903225</v>
      </c>
      <c r="Q80" s="61">
        <v>137.87315514615219</v>
      </c>
      <c r="R80" s="65"/>
      <c r="S80" s="132">
        <v>166.34</v>
      </c>
      <c r="T80" s="132">
        <f>((2159*180.22)+(2200*186.29)+(1800*181.21))/6159</f>
        <v>182.67754180873519</v>
      </c>
      <c r="U80" s="132">
        <f>((1980*199.28)+(1980*184.89)+(2100*185.71))/6060</f>
        <v>189.87584158415842</v>
      </c>
      <c r="V80" s="132">
        <f>((2415*184.42)+(2100*195.74)+(2205*202.02))/6720</f>
        <v>193.73250000000002</v>
      </c>
      <c r="W80" s="62"/>
      <c r="X80" s="132">
        <f>((2205*216.5)+(1995*207.57)+(2100*166.71))/6300</f>
        <v>197.07549999999998</v>
      </c>
      <c r="Y80" s="63">
        <v>240</v>
      </c>
      <c r="Z80" s="63">
        <f>Y80</f>
        <v>240</v>
      </c>
      <c r="AA80" s="63">
        <f>Z80</f>
        <v>240</v>
      </c>
      <c r="AB80" s="62"/>
      <c r="AC80" s="63">
        <f>AA80</f>
        <v>240</v>
      </c>
      <c r="AD80" s="63">
        <f>AC80</f>
        <v>240</v>
      </c>
      <c r="AE80" s="63">
        <f>AD80</f>
        <v>240</v>
      </c>
      <c r="AF80" s="63">
        <f>AE80</f>
        <v>240</v>
      </c>
      <c r="AG80" s="62"/>
    </row>
    <row r="81" spans="1:33" outlineLevel="1" x14ac:dyDescent="0.3">
      <c r="A81" s="124"/>
      <c r="B81" s="189" t="s">
        <v>6</v>
      </c>
      <c r="C81" s="190"/>
      <c r="D81" s="29"/>
      <c r="E81" s="29"/>
      <c r="F81" s="29"/>
      <c r="G81" s="29"/>
      <c r="H81" s="30"/>
      <c r="I81" s="29">
        <f>+(1939*117.82+18*0)/1000</f>
        <v>228.45297999999997</v>
      </c>
      <c r="J81" s="29">
        <f>1185*151.91/1000</f>
        <v>180.01335</v>
      </c>
      <c r="K81" s="29">
        <f>+(1249*160.1+1360*169.12+1173*170.5)/1000</f>
        <v>629.96460000000002</v>
      </c>
      <c r="L81" s="29">
        <f>+(1008*172.19+4832*177.64)/1000</f>
        <v>1031.924</v>
      </c>
      <c r="M81" s="30">
        <f>SUM(I81:L81)</f>
        <v>2070.35493</v>
      </c>
      <c r="N81" s="29">
        <f>+(1706*184.67+1576*180.83+7838*167.77)/1000</f>
        <v>1915.0163599999998</v>
      </c>
      <c r="O81" s="29">
        <f>+(9668*161.2+3353*180.81+5380*195.14)/1000</f>
        <v>3214.5907299999994</v>
      </c>
      <c r="P81" s="29">
        <f>(5288*198.56+6480*177.52+12535*163.98)/1000</f>
        <v>4255.8041800000001</v>
      </c>
      <c r="Q81" s="29">
        <f>+(25708*137.87)/1000</f>
        <v>3544.3619600000002</v>
      </c>
      <c r="R81" s="30">
        <f>SUM(N81:Q81)</f>
        <v>12929.773230000001</v>
      </c>
      <c r="S81" s="119">
        <v>521.80858000000001</v>
      </c>
      <c r="T81" s="119">
        <f>((2159*180.22)+(2200*186.29)+(1800*181.21))/1000</f>
        <v>1125.1109799999999</v>
      </c>
      <c r="U81" s="119">
        <f>((1980*199.28)+(1980*184.89)+(2100*185.71))/1000</f>
        <v>1150.6476</v>
      </c>
      <c r="V81" s="119">
        <f>((2415*184.42)+(2100*195.74)+(2205*202.02))/1000</f>
        <v>1301.8824000000002</v>
      </c>
      <c r="W81" s="30">
        <f>+SUM(S81:V81)</f>
        <v>4099.44956</v>
      </c>
      <c r="X81" s="119">
        <f>((2205*216.5)+(1995*207.57)+(2100*166.71))/1000</f>
        <v>1241.57565</v>
      </c>
      <c r="Y81" s="58">
        <f>AVERAGE(T81,U81,V81,X81)</f>
        <v>1204.8041575</v>
      </c>
      <c r="Z81" s="58">
        <f>AVERAGE(U81,V81,X81,Y81)</f>
        <v>1224.727451875</v>
      </c>
      <c r="AA81" s="58">
        <f>AVERAGE(V81,X81,Y81,Z81)</f>
        <v>1243.24741484375</v>
      </c>
      <c r="AB81" s="30">
        <f>+SUM(X81:AA81)</f>
        <v>4914.35467421875</v>
      </c>
      <c r="AC81" s="58">
        <f>AVERAGE(X81,Y81,Z81,AA81)</f>
        <v>1228.5886685546875</v>
      </c>
      <c r="AD81" s="58">
        <f>AVERAGE(Y81,Z81,AA81,AC81)</f>
        <v>1225.3419231933594</v>
      </c>
      <c r="AE81" s="58">
        <f>AVERAGE(Z81,AA81,AC81,AD81)</f>
        <v>1230.4763646166994</v>
      </c>
      <c r="AF81" s="58">
        <f>AVERAGE(AA81,AC81,AD81,AE81)</f>
        <v>1231.9135928021242</v>
      </c>
      <c r="AG81" s="30">
        <f>+SUM(AC81:AF81)</f>
        <v>4916.3205491668705</v>
      </c>
    </row>
    <row r="82" spans="1:33" outlineLevel="1" x14ac:dyDescent="0.3">
      <c r="A82" s="124"/>
      <c r="B82" s="187" t="s">
        <v>17</v>
      </c>
      <c r="C82" s="188"/>
      <c r="D82" s="66"/>
      <c r="E82" s="66"/>
      <c r="F82" s="66"/>
      <c r="G82" s="66"/>
      <c r="H82" s="101"/>
      <c r="I82" s="66">
        <f>IF((I81)&gt;0,(I81/I80),0)</f>
        <v>1.9389999999999998</v>
      </c>
      <c r="J82" s="66">
        <f>IF((J81)&gt;0,(J81/J80),0)</f>
        <v>1.1850000000000001</v>
      </c>
      <c r="K82" s="66">
        <f>IF((K81)&gt;0,(K81/K80),0)</f>
        <v>3.7821327489379395</v>
      </c>
      <c r="L82" s="66">
        <f>IF((L81)&gt;0,(L81/L80),0)</f>
        <v>5.8399173650884251</v>
      </c>
      <c r="M82" s="101">
        <f>+SUM(I82:L82)</f>
        <v>12.746050114026364</v>
      </c>
      <c r="N82" s="66">
        <f>IF((N81)&gt;0,(N81/N80),0)</f>
        <v>11.120426398695173</v>
      </c>
      <c r="O82" s="66">
        <f>IF((O81)&gt;0,(O81/O80),0)</f>
        <v>18.400735322424847</v>
      </c>
      <c r="P82" s="66">
        <f>IF((P81)&gt;0,(P81/P80),0)</f>
        <v>24.302851762028535</v>
      </c>
      <c r="Q82" s="66">
        <f>IF((Q81)&gt;0,(Q81/Q80),0)</f>
        <v>25.707411687523983</v>
      </c>
      <c r="R82" s="101">
        <f>+SUM(N82:Q82)</f>
        <v>79.531425170672534</v>
      </c>
      <c r="S82" s="66">
        <f>IF((S81)&gt;0,(S81/S80),0)</f>
        <v>3.137</v>
      </c>
      <c r="T82" s="66">
        <f>IF((T81)&gt;0,(T81/T80),0)</f>
        <v>6.1589999999999998</v>
      </c>
      <c r="U82" s="66">
        <f>IF((U81)&gt;0,(U81/U80),0)</f>
        <v>6.06</v>
      </c>
      <c r="V82" s="66">
        <f>IF((V81)&gt;0,(V81/V80),0)</f>
        <v>6.7200000000000006</v>
      </c>
      <c r="W82" s="101">
        <f>+SUM(S82:V82)</f>
        <v>22.076000000000001</v>
      </c>
      <c r="X82" s="66">
        <f>IF((X81)&gt;0,(X81/X80),0)</f>
        <v>6.3000000000000007</v>
      </c>
      <c r="Y82" s="66">
        <f>IF((Y81)&gt;0,(Y81/Y80),0)</f>
        <v>5.0200173229166669</v>
      </c>
      <c r="Z82" s="66">
        <f>IF((Z81)&gt;0,(Z81/Z80),0)</f>
        <v>5.1030310494791671</v>
      </c>
      <c r="AA82" s="66">
        <f>IF((AA81)&gt;0,(AA81/AA80),0)</f>
        <v>5.1801975618489582</v>
      </c>
      <c r="AB82" s="101">
        <f>+SUM(X82:AA82)</f>
        <v>21.603245934244789</v>
      </c>
      <c r="AC82" s="66">
        <f>IF((AC81)&gt;0,(AC81/AC80),0)</f>
        <v>5.1191194523111978</v>
      </c>
      <c r="AD82" s="66">
        <f>IF((AD81)&gt;0,(AD81/AD80),0)</f>
        <v>5.1055913466389979</v>
      </c>
      <c r="AE82" s="66">
        <f>IF((AE81)&gt;0,(AE81/AE80),0)</f>
        <v>5.1269848525695805</v>
      </c>
      <c r="AF82" s="66">
        <f>IF((AF81)&gt;0,(AF81/AF80),0)</f>
        <v>5.132973303342184</v>
      </c>
      <c r="AG82" s="101">
        <f>+SUM(AC82:AF82)</f>
        <v>20.484668954861959</v>
      </c>
    </row>
    <row r="83" spans="1:33" ht="17.399999999999999" x14ac:dyDescent="0.45">
      <c r="A83" s="124"/>
      <c r="B83" s="181" t="s">
        <v>24</v>
      </c>
      <c r="C83" s="182"/>
      <c r="D83" s="27" t="s">
        <v>49</v>
      </c>
      <c r="E83" s="27" t="s">
        <v>50</v>
      </c>
      <c r="F83" s="27" t="s">
        <v>51</v>
      </c>
      <c r="G83" s="27" t="s">
        <v>52</v>
      </c>
      <c r="H83" s="80" t="s">
        <v>53</v>
      </c>
      <c r="I83" s="27" t="s">
        <v>40</v>
      </c>
      <c r="J83" s="27" t="s">
        <v>41</v>
      </c>
      <c r="K83" s="27" t="s">
        <v>42</v>
      </c>
      <c r="L83" s="27" t="s">
        <v>43</v>
      </c>
      <c r="M83" s="80" t="s">
        <v>44</v>
      </c>
      <c r="N83" s="27" t="s">
        <v>31</v>
      </c>
      <c r="O83" s="27" t="s">
        <v>30</v>
      </c>
      <c r="P83" s="27" t="s">
        <v>29</v>
      </c>
      <c r="Q83" s="27" t="s">
        <v>28</v>
      </c>
      <c r="R83" s="80" t="s">
        <v>27</v>
      </c>
      <c r="S83" s="27" t="s">
        <v>119</v>
      </c>
      <c r="T83" s="27" t="s">
        <v>125</v>
      </c>
      <c r="U83" s="27" t="s">
        <v>126</v>
      </c>
      <c r="V83" s="27" t="s">
        <v>127</v>
      </c>
      <c r="W83" s="80" t="s">
        <v>128</v>
      </c>
      <c r="X83" s="27" t="s">
        <v>129</v>
      </c>
      <c r="Y83" s="25" t="s">
        <v>106</v>
      </c>
      <c r="Z83" s="25" t="s">
        <v>107</v>
      </c>
      <c r="AA83" s="25" t="s">
        <v>108</v>
      </c>
      <c r="AB83" s="82" t="s">
        <v>109</v>
      </c>
      <c r="AC83" s="25" t="s">
        <v>110</v>
      </c>
      <c r="AD83" s="25" t="s">
        <v>111</v>
      </c>
      <c r="AE83" s="25" t="s">
        <v>112</v>
      </c>
      <c r="AF83" s="25" t="s">
        <v>113</v>
      </c>
      <c r="AG83" s="82" t="s">
        <v>114</v>
      </c>
    </row>
    <row r="84" spans="1:33" outlineLevel="1" x14ac:dyDescent="0.3">
      <c r="A84" s="124"/>
      <c r="B84" s="189" t="s">
        <v>95</v>
      </c>
      <c r="C84" s="190"/>
      <c r="D84" s="29"/>
      <c r="E84" s="29"/>
      <c r="F84" s="29"/>
      <c r="G84" s="29"/>
      <c r="H84" s="30"/>
      <c r="I84" s="29">
        <v>-536</v>
      </c>
      <c r="J84" s="29">
        <v>-373</v>
      </c>
      <c r="K84" s="29">
        <v>159</v>
      </c>
      <c r="L84" s="29">
        <v>348</v>
      </c>
      <c r="M84" s="30"/>
      <c r="N84" s="29">
        <v>-536</v>
      </c>
      <c r="O84" s="29">
        <v>-373</v>
      </c>
      <c r="P84" s="29">
        <v>159</v>
      </c>
      <c r="Q84" s="29">
        <v>348</v>
      </c>
      <c r="R84" s="30">
        <v>-401</v>
      </c>
      <c r="S84" s="119">
        <v>503</v>
      </c>
      <c r="T84" s="119">
        <v>574</v>
      </c>
      <c r="U84" s="119">
        <v>297</v>
      </c>
      <c r="V84" s="119">
        <v>295</v>
      </c>
      <c r="W84" s="114">
        <f>SUM(S84:V84)</f>
        <v>1669</v>
      </c>
      <c r="X84" s="119">
        <v>275</v>
      </c>
      <c r="Y84" s="58">
        <f>X84+10</f>
        <v>285</v>
      </c>
      <c r="Z84" s="58">
        <f>AVERAGE(S84:V84)-100</f>
        <v>317.25</v>
      </c>
      <c r="AA84" s="58">
        <f>Z84</f>
        <v>317.25</v>
      </c>
      <c r="AB84" s="30">
        <f>SUM(X84:AA84)</f>
        <v>1194.5</v>
      </c>
      <c r="AC84" s="58">
        <v>50</v>
      </c>
      <c r="AD84" s="58">
        <f>AC84</f>
        <v>50</v>
      </c>
      <c r="AE84" s="58">
        <f>AD84</f>
        <v>50</v>
      </c>
      <c r="AF84" s="58">
        <f>AE84</f>
        <v>50</v>
      </c>
      <c r="AG84" s="30">
        <f>SUM(AC84:AF84)</f>
        <v>200</v>
      </c>
    </row>
    <row r="85" spans="1:33" ht="17.399999999999999" x14ac:dyDescent="0.45">
      <c r="A85" s="124"/>
      <c r="B85" s="181" t="s">
        <v>96</v>
      </c>
      <c r="C85" s="182"/>
      <c r="D85" s="27" t="s">
        <v>49</v>
      </c>
      <c r="E85" s="27" t="s">
        <v>50</v>
      </c>
      <c r="F85" s="27" t="s">
        <v>51</v>
      </c>
      <c r="G85" s="27" t="s">
        <v>52</v>
      </c>
      <c r="H85" s="80" t="s">
        <v>53</v>
      </c>
      <c r="I85" s="27" t="s">
        <v>40</v>
      </c>
      <c r="J85" s="27" t="s">
        <v>41</v>
      </c>
      <c r="K85" s="27" t="s">
        <v>42</v>
      </c>
      <c r="L85" s="27" t="s">
        <v>43</v>
      </c>
      <c r="M85" s="80" t="s">
        <v>44</v>
      </c>
      <c r="N85" s="27" t="s">
        <v>31</v>
      </c>
      <c r="O85" s="27" t="s">
        <v>30</v>
      </c>
      <c r="P85" s="27" t="s">
        <v>29</v>
      </c>
      <c r="Q85" s="27" t="s">
        <v>28</v>
      </c>
      <c r="R85" s="80" t="s">
        <v>27</v>
      </c>
      <c r="S85" s="27" t="s">
        <v>119</v>
      </c>
      <c r="T85" s="27" t="s">
        <v>125</v>
      </c>
      <c r="U85" s="27" t="s">
        <v>126</v>
      </c>
      <c r="V85" s="27" t="s">
        <v>127</v>
      </c>
      <c r="W85" s="80" t="s">
        <v>128</v>
      </c>
      <c r="X85" s="27" t="s">
        <v>129</v>
      </c>
      <c r="Y85" s="25" t="s">
        <v>106</v>
      </c>
      <c r="Z85" s="25" t="s">
        <v>107</v>
      </c>
      <c r="AA85" s="25" t="s">
        <v>108</v>
      </c>
      <c r="AB85" s="82" t="s">
        <v>109</v>
      </c>
      <c r="AC85" s="25" t="s">
        <v>110</v>
      </c>
      <c r="AD85" s="25" t="s">
        <v>111</v>
      </c>
      <c r="AE85" s="25" t="s">
        <v>112</v>
      </c>
      <c r="AF85" s="25" t="s">
        <v>113</v>
      </c>
      <c r="AG85" s="82" t="s">
        <v>114</v>
      </c>
    </row>
    <row r="86" spans="1:33" outlineLevel="1" x14ac:dyDescent="0.3">
      <c r="A86" s="124"/>
      <c r="B86" s="70" t="s">
        <v>67</v>
      </c>
      <c r="C86" s="71"/>
      <c r="D86" s="29"/>
      <c r="E86" s="29"/>
      <c r="F86" s="29"/>
      <c r="G86" s="29"/>
      <c r="H86" s="30"/>
      <c r="I86" s="29">
        <v>34</v>
      </c>
      <c r="J86" s="29">
        <v>47</v>
      </c>
      <c r="K86" s="29">
        <v>47</v>
      </c>
      <c r="L86" s="29">
        <v>50</v>
      </c>
      <c r="M86" s="30"/>
      <c r="N86" s="29">
        <v>56</v>
      </c>
      <c r="O86" s="29">
        <v>74</v>
      </c>
      <c r="P86" s="29">
        <v>72</v>
      </c>
      <c r="Q86" s="85">
        <v>82</v>
      </c>
      <c r="R86" s="30">
        <f>SUM(N86:Q86)</f>
        <v>284</v>
      </c>
      <c r="S86" s="119">
        <v>87</v>
      </c>
      <c r="T86" s="119">
        <v>109</v>
      </c>
      <c r="U86" s="119">
        <v>91</v>
      </c>
      <c r="V86" s="119">
        <f>377-U86-T86-S86</f>
        <v>90</v>
      </c>
      <c r="W86" s="30">
        <f>SUM(S86:V86)</f>
        <v>377</v>
      </c>
      <c r="X86" s="119">
        <v>94</v>
      </c>
      <c r="Y86" s="58">
        <f>AVERAGE(T86,U86,V86,X86)-2</f>
        <v>94</v>
      </c>
      <c r="Z86" s="58">
        <f>AVERAGE(U86,V86,X86,Y86)</f>
        <v>92.25</v>
      </c>
      <c r="AA86" s="58">
        <f>AVERAGE(V86,X86,Y86,Z86)</f>
        <v>92.5625</v>
      </c>
      <c r="AB86" s="30">
        <f>SUM(X86:AA86)</f>
        <v>372.8125</v>
      </c>
      <c r="AC86" s="58">
        <f>AVERAGE(X86,Y86,Z86,AA86)</f>
        <v>93.203125</v>
      </c>
      <c r="AD86" s="58">
        <f>AVERAGE(Y86,Z86,AA86,AC86)</f>
        <v>93.00390625</v>
      </c>
      <c r="AE86" s="58">
        <f>AVERAGE(Z86,AA86,AC86,AD86)</f>
        <v>92.7548828125</v>
      </c>
      <c r="AF86" s="58">
        <f>AVERAGE(AA86,AC86,AD86,AE86)</f>
        <v>92.881103515625</v>
      </c>
      <c r="AG86" s="30">
        <f>SUM(AC86:AF86)</f>
        <v>371.843017578125</v>
      </c>
    </row>
    <row r="87" spans="1:33" s="87" customFormat="1" outlineLevel="1" x14ac:dyDescent="0.3">
      <c r="A87" s="134"/>
      <c r="B87" s="70" t="s">
        <v>99</v>
      </c>
      <c r="C87" s="102"/>
      <c r="D87" s="88"/>
      <c r="E87" s="88"/>
      <c r="F87" s="88"/>
      <c r="G87" s="29"/>
      <c r="H87" s="103"/>
      <c r="I87" s="29">
        <v>670</v>
      </c>
      <c r="J87" s="29">
        <v>787</v>
      </c>
      <c r="K87" s="29">
        <v>776</v>
      </c>
      <c r="L87" s="29">
        <v>587</v>
      </c>
      <c r="M87" s="103"/>
      <c r="N87" s="29">
        <v>718</v>
      </c>
      <c r="O87" s="29">
        <v>881</v>
      </c>
      <c r="P87" s="29">
        <v>748</v>
      </c>
      <c r="Q87" s="85">
        <v>675</v>
      </c>
      <c r="R87" s="30">
        <f>SUM(N87:Q87)</f>
        <v>3022</v>
      </c>
      <c r="S87" s="119">
        <v>723</v>
      </c>
      <c r="T87" s="119">
        <v>927</v>
      </c>
      <c r="U87" s="119">
        <v>907</v>
      </c>
      <c r="V87" s="119">
        <f>3488-U87-T87-S87</f>
        <v>931</v>
      </c>
      <c r="W87" s="30">
        <f>SUM(S87:V87)</f>
        <v>3488</v>
      </c>
      <c r="X87" s="119">
        <v>999</v>
      </c>
      <c r="Y87" s="58">
        <f>AVERAGE(T87,U87,V87,X87)</f>
        <v>941</v>
      </c>
      <c r="Z87" s="58">
        <f>AVERAGE(U87,V87,X87,Y87)</f>
        <v>944.5</v>
      </c>
      <c r="AA87" s="58">
        <f>AVERAGE(V87,X87,Y87,Z87)</f>
        <v>953.875</v>
      </c>
      <c r="AB87" s="30">
        <f>SUM(X87:AA87)</f>
        <v>3838.375</v>
      </c>
      <c r="AC87" s="58">
        <f>AVERAGE(X87,Y87,Z87,AA87)</f>
        <v>959.59375</v>
      </c>
      <c r="AD87" s="58">
        <f>AVERAGE(Y87,Z87,AA87,AC87)</f>
        <v>949.7421875</v>
      </c>
      <c r="AE87" s="58">
        <f>AVERAGE(Z87,AA87,AC87,AD87)</f>
        <v>951.927734375</v>
      </c>
      <c r="AF87" s="58">
        <f>AVERAGE(AA87,AC87,AD87,AE87)</f>
        <v>953.78466796875</v>
      </c>
      <c r="AG87" s="30">
        <f>SUM(AC87:AF87)</f>
        <v>3815.04833984375</v>
      </c>
    </row>
    <row r="88" spans="1:33" outlineLevel="1" x14ac:dyDescent="0.3">
      <c r="A88" s="124"/>
      <c r="B88" s="70" t="s">
        <v>98</v>
      </c>
      <c r="C88" s="71"/>
      <c r="D88" s="29"/>
      <c r="E88" s="29"/>
      <c r="F88" s="29"/>
      <c r="G88" s="29"/>
      <c r="H88" s="30"/>
      <c r="I88" s="29">
        <v>96</v>
      </c>
      <c r="J88" s="29">
        <v>120</v>
      </c>
      <c r="K88" s="29">
        <v>114</v>
      </c>
      <c r="L88" s="29">
        <v>106</v>
      </c>
      <c r="M88" s="30"/>
      <c r="N88" s="29">
        <v>109</v>
      </c>
      <c r="O88" s="29">
        <v>139</v>
      </c>
      <c r="P88" s="29">
        <v>133</v>
      </c>
      <c r="Q88" s="85">
        <v>130</v>
      </c>
      <c r="R88" s="30">
        <f>SUM(N88:Q88)</f>
        <v>511</v>
      </c>
      <c r="S88" s="119">
        <v>113</v>
      </c>
      <c r="T88" s="119">
        <v>160</v>
      </c>
      <c r="U88" s="119">
        <v>148</v>
      </c>
      <c r="V88" s="119">
        <f>569-U88-T88-S88</f>
        <v>148</v>
      </c>
      <c r="W88" s="30">
        <f>SUM(S88:V88)</f>
        <v>569</v>
      </c>
      <c r="X88" s="119">
        <v>149</v>
      </c>
      <c r="Y88" s="58">
        <f>AVERAGE(T88,U88,V88,X88)+2</f>
        <v>153.25</v>
      </c>
      <c r="Z88" s="58">
        <f>AVERAGE(U88,V88,X88,Y88)</f>
        <v>149.5625</v>
      </c>
      <c r="AA88" s="58">
        <f>AVERAGE(V88,X88,Y88,Z88)</f>
        <v>149.953125</v>
      </c>
      <c r="AB88" s="30">
        <f>SUM(X88:AA88)</f>
        <v>601.765625</v>
      </c>
      <c r="AC88" s="58">
        <f>AVERAGE(X88,Y88,Z88,AA88)</f>
        <v>150.44140625</v>
      </c>
      <c r="AD88" s="58">
        <f>AVERAGE(Y88,Z88,AA88,AC88)</f>
        <v>150.8017578125</v>
      </c>
      <c r="AE88" s="58">
        <f>AVERAGE(Z88,AA88,AC88,AD88)</f>
        <v>150.189697265625</v>
      </c>
      <c r="AF88" s="58">
        <f>AVERAGE(AA88,AC88,AD88,AE88)</f>
        <v>150.34649658203125</v>
      </c>
      <c r="AG88" s="30">
        <f>SUM(AC88:AF88)</f>
        <v>601.77935791015625</v>
      </c>
    </row>
    <row r="89" spans="1:33" outlineLevel="1" x14ac:dyDescent="0.3">
      <c r="A89" s="124"/>
      <c r="B89" s="76" t="s">
        <v>97</v>
      </c>
      <c r="C89" s="89"/>
      <c r="D89" s="67"/>
      <c r="E89" s="67"/>
      <c r="F89" s="67"/>
      <c r="G89" s="67"/>
      <c r="H89" s="68"/>
      <c r="I89" s="67">
        <v>67</v>
      </c>
      <c r="J89" s="67">
        <v>78</v>
      </c>
      <c r="K89" s="67">
        <v>73</v>
      </c>
      <c r="L89" s="67">
        <v>71</v>
      </c>
      <c r="M89" s="68"/>
      <c r="N89" s="67">
        <v>72</v>
      </c>
      <c r="O89" s="67">
        <v>92</v>
      </c>
      <c r="P89" s="67">
        <v>87</v>
      </c>
      <c r="Q89" s="104">
        <v>84</v>
      </c>
      <c r="R89" s="68">
        <f>SUM(N89:Q89)</f>
        <v>335</v>
      </c>
      <c r="S89" s="135">
        <v>87</v>
      </c>
      <c r="T89" s="143">
        <v>107</v>
      </c>
      <c r="U89" s="143">
        <v>103</v>
      </c>
      <c r="V89" s="148">
        <f>402-U89-T89-S89</f>
        <v>105</v>
      </c>
      <c r="W89" s="68">
        <f>SUM(S89:V89)</f>
        <v>402</v>
      </c>
      <c r="X89" s="135">
        <v>93</v>
      </c>
      <c r="Y89" s="77">
        <f>AVERAGE(T89,U89,V89,X89)-3</f>
        <v>99</v>
      </c>
      <c r="Z89" s="77">
        <f>AVERAGE(U89,V89,X89,Y89)</f>
        <v>100</v>
      </c>
      <c r="AA89" s="106">
        <f>AVERAGE(V89,X89,Y89,Z89)</f>
        <v>99.25</v>
      </c>
      <c r="AB89" s="68">
        <f>SUM(X89:AA89)</f>
        <v>391.25</v>
      </c>
      <c r="AC89" s="105">
        <f>AVERAGE(X89,Y89,Z89,AA89)</f>
        <v>97.8125</v>
      </c>
      <c r="AD89" s="77">
        <f>AVERAGE(Y89,Z89,AA89,AC89)</f>
        <v>99.015625</v>
      </c>
      <c r="AE89" s="77">
        <f>AVERAGE(Z89,AA89,AC89,AD89)</f>
        <v>99.01953125</v>
      </c>
      <c r="AF89" s="106">
        <f>AVERAGE(AA89,AC89,AD89,AE89)</f>
        <v>98.7744140625</v>
      </c>
      <c r="AG89" s="68">
        <f>SUM(AC89:AF89)</f>
        <v>394.6220703125</v>
      </c>
    </row>
    <row r="90" spans="1:33" x14ac:dyDescent="0.3">
      <c r="A90" s="124"/>
      <c r="B90" s="20"/>
      <c r="C90" s="20"/>
      <c r="F90" s="3"/>
      <c r="G90" s="3"/>
      <c r="H90" s="3"/>
      <c r="I90" s="138"/>
      <c r="J90" s="138"/>
      <c r="K90" s="138"/>
      <c r="L90" s="138"/>
      <c r="M90" s="84"/>
      <c r="N90" s="138"/>
      <c r="O90" s="138"/>
      <c r="P90" s="138"/>
      <c r="Q90" s="138"/>
      <c r="R90" s="138"/>
      <c r="S90" s="138"/>
      <c r="T90" s="138"/>
      <c r="U90" s="138"/>
      <c r="V90" s="138"/>
      <c r="W90" s="84"/>
      <c r="Z90" s="3"/>
      <c r="AA90" s="3"/>
      <c r="AB90" s="84"/>
      <c r="AE90" s="3"/>
      <c r="AF90" s="3"/>
      <c r="AG90" s="84"/>
    </row>
  </sheetData>
  <dataConsolidate link="1"/>
  <mergeCells count="37">
    <mergeCell ref="B85:C85"/>
    <mergeCell ref="A11:A12"/>
    <mergeCell ref="B35:C35"/>
    <mergeCell ref="B41:C41"/>
    <mergeCell ref="B79:C79"/>
    <mergeCell ref="B78:C78"/>
    <mergeCell ref="B76:C76"/>
    <mergeCell ref="B51:C51"/>
    <mergeCell ref="B61:C61"/>
    <mergeCell ref="B34:C34"/>
    <mergeCell ref="B65:C65"/>
    <mergeCell ref="B67:C67"/>
    <mergeCell ref="B80:C80"/>
    <mergeCell ref="B75:C75"/>
    <mergeCell ref="B77:C77"/>
    <mergeCell ref="B68:C68"/>
    <mergeCell ref="B2:C2"/>
    <mergeCell ref="B82:C82"/>
    <mergeCell ref="B81:C81"/>
    <mergeCell ref="B83:C83"/>
    <mergeCell ref="B84:C84"/>
    <mergeCell ref="B13:C13"/>
    <mergeCell ref="B24:C24"/>
    <mergeCell ref="B23:C23"/>
    <mergeCell ref="B64:C64"/>
    <mergeCell ref="B63:C63"/>
    <mergeCell ref="B31:C31"/>
    <mergeCell ref="B30:C30"/>
    <mergeCell ref="B29:C29"/>
    <mergeCell ref="B28:C28"/>
    <mergeCell ref="B25:C25"/>
    <mergeCell ref="B33:C33"/>
    <mergeCell ref="B3:C3"/>
    <mergeCell ref="B4:C4"/>
    <mergeCell ref="B5:C5"/>
    <mergeCell ref="B11:C11"/>
    <mergeCell ref="B12:C12"/>
  </mergeCells>
  <phoneticPr fontId="69" type="noConversion"/>
  <pageMargins left="0.7" right="0.7" top="0.75" bottom="0.75" header="0.3" footer="0.3"/>
  <pageSetup scale="15" orientation="landscape" r:id="rId1"/>
  <headerFooter>
    <oddFooter>&amp;CGutenberg Research LLC prohibits the redistribution of this document in whole or part without the written permission. 
© Gutenberg Research LLC 2019.</oddFooter>
  </headerFooter>
  <rowBreaks count="1" manualBreakCount="1">
    <brk id="89" max="16383" man="1"/>
  </rowBreaks>
  <drawing r:id="rId2"/>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B1:N41"/>
  <sheetViews>
    <sheetView showGridLines="0" zoomScaleNormal="100" workbookViewId="0">
      <selection activeCell="E52" sqref="E52"/>
    </sheetView>
  </sheetViews>
  <sheetFormatPr defaultColWidth="9.21875" defaultRowHeight="14.4" x14ac:dyDescent="0.3"/>
  <cols>
    <col min="1" max="1" width="1.21875" customWidth="1"/>
    <col min="2" max="2" width="22.77734375" customWidth="1"/>
    <col min="3" max="10" width="12.21875" customWidth="1"/>
    <col min="11" max="11" width="1.21875" customWidth="1"/>
    <col min="12" max="12" width="22.77734375" customWidth="1"/>
    <col min="13" max="20" width="12.21875" customWidth="1"/>
  </cols>
  <sheetData>
    <row r="1" spans="2:14" x14ac:dyDescent="0.3">
      <c r="B1" s="86" t="s">
        <v>130</v>
      </c>
    </row>
    <row r="2" spans="2:14" x14ac:dyDescent="0.3">
      <c r="B2" s="86"/>
    </row>
    <row r="3" spans="2:14" x14ac:dyDescent="0.3">
      <c r="B3" s="86"/>
    </row>
    <row r="4" spans="2:14" x14ac:dyDescent="0.3">
      <c r="B4" s="6"/>
      <c r="I4" s="6"/>
      <c r="L4" s="6"/>
    </row>
    <row r="5" spans="2:14" ht="12.6" customHeight="1" x14ac:dyDescent="0.3">
      <c r="B5" s="6"/>
    </row>
    <row r="6" spans="2:14" ht="21" customHeight="1" x14ac:dyDescent="0.3">
      <c r="C6" s="8"/>
      <c r="D6" s="9"/>
      <c r="E6" s="9"/>
      <c r="F6" s="9"/>
      <c r="H6" s="6"/>
    </row>
    <row r="7" spans="2:14" s="5" customFormat="1" ht="21" customHeight="1" x14ac:dyDescent="0.3">
      <c r="C7" s="9"/>
      <c r="D7" s="9"/>
      <c r="E7" s="9"/>
      <c r="F7" s="9"/>
      <c r="H7" s="200"/>
      <c r="I7" s="200"/>
      <c r="J7" s="200"/>
      <c r="K7" s="200"/>
      <c r="L7" s="200"/>
      <c r="M7" s="200"/>
      <c r="N7" s="200"/>
    </row>
    <row r="8" spans="2:14" ht="21" customHeight="1" x14ac:dyDescent="0.3">
      <c r="D8" s="1"/>
      <c r="E8" s="1"/>
      <c r="F8" s="1"/>
      <c r="G8" s="7"/>
    </row>
    <row r="9" spans="2:14" ht="21" customHeight="1" x14ac:dyDescent="0.3">
      <c r="D9" s="1"/>
      <c r="E9" s="1"/>
      <c r="F9" s="1"/>
      <c r="G9" s="7"/>
    </row>
    <row r="10" spans="2:14" ht="21" customHeight="1" x14ac:dyDescent="0.3">
      <c r="D10" s="1"/>
      <c r="E10" s="1"/>
      <c r="F10" s="1"/>
      <c r="G10" s="7"/>
    </row>
    <row r="11" spans="2:14" ht="21" customHeight="1" x14ac:dyDescent="0.3">
      <c r="D11" s="1"/>
      <c r="E11" s="1"/>
      <c r="F11" s="1"/>
      <c r="G11" s="7"/>
    </row>
    <row r="12" spans="2:14" ht="21" customHeight="1" x14ac:dyDescent="0.3">
      <c r="D12" s="1"/>
      <c r="E12" s="1"/>
      <c r="F12" s="10"/>
      <c r="G12" s="7"/>
    </row>
    <row r="13" spans="2:14" ht="21" customHeight="1" x14ac:dyDescent="0.3">
      <c r="D13" s="1"/>
      <c r="E13" s="2"/>
      <c r="F13" s="2"/>
      <c r="G13" s="7"/>
    </row>
    <row r="14" spans="2:14" ht="21" customHeight="1" x14ac:dyDescent="0.3">
      <c r="B14" s="86"/>
      <c r="D14" s="1"/>
      <c r="E14" s="2"/>
      <c r="F14" s="2"/>
      <c r="G14" s="7"/>
    </row>
    <row r="15" spans="2:14" ht="21" customHeight="1" x14ac:dyDescent="0.3">
      <c r="D15" s="1"/>
      <c r="E15" s="2"/>
      <c r="F15" s="2"/>
      <c r="G15" s="7"/>
    </row>
    <row r="16" spans="2:14" ht="21" customHeight="1" x14ac:dyDescent="0.3">
      <c r="D16" s="1"/>
      <c r="E16" s="2"/>
      <c r="F16" s="2"/>
      <c r="G16" s="7"/>
    </row>
    <row r="27" spans="2:2" x14ac:dyDescent="0.3">
      <c r="B27" s="86"/>
    </row>
    <row r="41" spans="2:2" x14ac:dyDescent="0.3">
      <c r="B41" s="86"/>
    </row>
  </sheetData>
  <mergeCells count="1">
    <mergeCell ref="H7:N7"/>
  </mergeCells>
  <pageMargins left="0.7" right="0.7" top="0.75" bottom="0.75" header="0.3" footer="0.3"/>
  <pageSetup orientation="portrait" horizontalDpi="200" verticalDpi="200"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3E4457-FA5A-4F72-89BD-0BE826A0975F}">
  <dimension ref="A1:W9"/>
  <sheetViews>
    <sheetView topLeftCell="B1" workbookViewId="0">
      <selection activeCell="B1" sqref="B1"/>
    </sheetView>
  </sheetViews>
  <sheetFormatPr defaultRowHeight="14.4" x14ac:dyDescent="0.3"/>
  <cols>
    <col min="3" max="3" width="11.109375" bestFit="1" customWidth="1"/>
    <col min="4" max="5" width="10.109375" bestFit="1" customWidth="1"/>
    <col min="6" max="23" width="11.109375" bestFit="1" customWidth="1"/>
  </cols>
  <sheetData>
    <row r="1" spans="1:23" x14ac:dyDescent="0.3">
      <c r="D1" t="str">
        <f>'Earnings Model'!I11</f>
        <v>March-17</v>
      </c>
      <c r="E1" t="str">
        <f>'Earnings Model'!J11</f>
        <v>June-17</v>
      </c>
      <c r="F1" t="str">
        <f>'Earnings Model'!K11</f>
        <v>Sept-17</v>
      </c>
      <c r="G1" t="str">
        <f>'Earnings Model'!L11</f>
        <v>Dec-17</v>
      </c>
      <c r="H1" t="str">
        <f>'Earnings Model'!N11</f>
        <v>March-18</v>
      </c>
      <c r="I1" t="str">
        <f>'Earnings Model'!O11</f>
        <v>June-18</v>
      </c>
      <c r="J1" t="str">
        <f>'Earnings Model'!P11</f>
        <v>Sept-18</v>
      </c>
      <c r="K1" t="str">
        <f>'Earnings Model'!Q11</f>
        <v>Dec-18</v>
      </c>
      <c r="L1" t="str">
        <f>'Earnings Model'!S11</f>
        <v>March-19</v>
      </c>
      <c r="M1" t="str">
        <f>'Earnings Model'!T11</f>
        <v>June-19</v>
      </c>
      <c r="N1" t="str">
        <f>'Earnings Model'!U11</f>
        <v>Sept-19</v>
      </c>
      <c r="O1" t="str">
        <f>'Earnings Model'!V11</f>
        <v>Dec-19</v>
      </c>
      <c r="P1" t="str">
        <f>'Earnings Model'!X11</f>
        <v>March-20</v>
      </c>
      <c r="Q1" t="s">
        <v>59</v>
      </c>
      <c r="R1" t="s">
        <v>60</v>
      </c>
      <c r="S1" t="s">
        <v>61</v>
      </c>
      <c r="T1" t="s">
        <v>62</v>
      </c>
      <c r="U1" t="s">
        <v>63</v>
      </c>
      <c r="V1" t="s">
        <v>64</v>
      </c>
      <c r="W1" t="s">
        <v>65</v>
      </c>
    </row>
    <row r="2" spans="1:23" x14ac:dyDescent="0.3">
      <c r="D2" t="str">
        <f>'Earnings Model'!I12</f>
        <v>1Q17</v>
      </c>
      <c r="E2" t="str">
        <f>'Earnings Model'!J12</f>
        <v>2Q17</v>
      </c>
      <c r="F2" t="str">
        <f>'Earnings Model'!K12</f>
        <v>3Q17</v>
      </c>
      <c r="G2" t="str">
        <f>'Earnings Model'!L12</f>
        <v>4Q17</v>
      </c>
      <c r="H2" t="str">
        <f>'Earnings Model'!N12</f>
        <v>1Q18</v>
      </c>
      <c r="I2" t="str">
        <f>'Earnings Model'!O12</f>
        <v>2Q18</v>
      </c>
      <c r="J2" t="str">
        <f>'Earnings Model'!P12</f>
        <v>3Q18</v>
      </c>
      <c r="K2" t="str">
        <f>'Earnings Model'!Q12</f>
        <v>4Q18</v>
      </c>
      <c r="L2" t="str">
        <f>'Earnings Model'!S12</f>
        <v>1Q19</v>
      </c>
      <c r="M2" t="str">
        <f>'Earnings Model'!T12</f>
        <v>2Q19</v>
      </c>
      <c r="N2" t="str">
        <f>'Earnings Model'!U12</f>
        <v>3Q19</v>
      </c>
      <c r="O2" t="str">
        <f>'Earnings Model'!V12</f>
        <v>4Q19</v>
      </c>
      <c r="P2" t="str">
        <f>'Earnings Model'!X12</f>
        <v>1Q20</v>
      </c>
      <c r="Q2" t="s">
        <v>106</v>
      </c>
      <c r="R2" t="s">
        <v>107</v>
      </c>
      <c r="S2" t="s">
        <v>108</v>
      </c>
      <c r="T2" t="s">
        <v>110</v>
      </c>
      <c r="U2" t="s">
        <v>111</v>
      </c>
      <c r="V2" t="s">
        <v>112</v>
      </c>
      <c r="W2" t="s">
        <v>113</v>
      </c>
    </row>
    <row r="3" spans="1:23" x14ac:dyDescent="0.3">
      <c r="D3" s="172">
        <f>'Earnings Model'!I13</f>
        <v>8032</v>
      </c>
      <c r="E3" s="172">
        <f>'Earnings Model'!J13</f>
        <v>9321</v>
      </c>
      <c r="F3" s="172">
        <f>'Earnings Model'!K13</f>
        <v>10328</v>
      </c>
      <c r="G3" s="172">
        <f>'Earnings Model'!L13</f>
        <v>12972</v>
      </c>
      <c r="H3" s="172">
        <f>'Earnings Model'!N13</f>
        <v>11966</v>
      </c>
      <c r="I3" s="172">
        <f>'Earnings Model'!O13</f>
        <v>13231</v>
      </c>
      <c r="J3" s="172">
        <f>'Earnings Model'!P13</f>
        <v>13727</v>
      </c>
      <c r="K3" s="172">
        <f>'Earnings Model'!Q13</f>
        <v>16914</v>
      </c>
      <c r="L3" s="172">
        <f>'Earnings Model'!S13</f>
        <v>15077</v>
      </c>
      <c r="M3" s="172">
        <f>'Earnings Model'!T13</f>
        <v>16886</v>
      </c>
      <c r="N3" s="172">
        <f>'Earnings Model'!U13</f>
        <v>17652</v>
      </c>
      <c r="O3" s="172">
        <f>'Earnings Model'!V13</f>
        <v>21082</v>
      </c>
      <c r="P3" s="172">
        <f>'Earnings Model'!X13</f>
        <v>17737</v>
      </c>
      <c r="Q3" s="172">
        <v>17533.281103932211</v>
      </c>
      <c r="R3" s="172">
        <v>19335.89186981654</v>
      </c>
      <c r="S3" s="172">
        <v>23692.950043089091</v>
      </c>
      <c r="T3" s="172">
        <v>21234.841187655882</v>
      </c>
      <c r="U3" s="172">
        <v>21447.043652037806</v>
      </c>
      <c r="V3" s="172">
        <v>24619.659620671253</v>
      </c>
      <c r="W3" s="172">
        <v>31124.850363722246</v>
      </c>
    </row>
    <row r="7" spans="1:23" x14ac:dyDescent="0.3">
      <c r="A7" t="str">
        <f>'Earnings Model'!H11</f>
        <v>Dec-16</v>
      </c>
      <c r="B7" t="str">
        <f>'Earnings Model'!M11</f>
        <v>Dec-17</v>
      </c>
      <c r="C7" t="str">
        <f>'Earnings Model'!R11</f>
        <v>Dec-18</v>
      </c>
      <c r="D7" t="str">
        <f>'Earnings Model'!W11</f>
        <v>Dec-19</v>
      </c>
      <c r="E7" t="s">
        <v>61</v>
      </c>
      <c r="F7" t="s">
        <v>65</v>
      </c>
    </row>
    <row r="8" spans="1:23" x14ac:dyDescent="0.3">
      <c r="A8" t="str">
        <f>'Earnings Model'!H12</f>
        <v>2016</v>
      </c>
      <c r="B8" t="str">
        <f>'Earnings Model'!M12</f>
        <v>2017</v>
      </c>
      <c r="C8" t="str">
        <f>'Earnings Model'!R12</f>
        <v>2018</v>
      </c>
      <c r="D8" t="str">
        <f>'Earnings Model'!W12</f>
        <v>2019</v>
      </c>
      <c r="E8" t="s">
        <v>109</v>
      </c>
      <c r="F8" t="s">
        <v>114</v>
      </c>
    </row>
    <row r="9" spans="1:23" x14ac:dyDescent="0.3">
      <c r="A9" s="172">
        <f>'Earnings Model'!H13</f>
        <v>27638</v>
      </c>
      <c r="B9" s="172">
        <f>'Earnings Model'!M13</f>
        <v>40653</v>
      </c>
      <c r="C9" s="172">
        <f>'Earnings Model'!R13</f>
        <v>55838</v>
      </c>
      <c r="D9" s="172">
        <f>'Earnings Model'!W13</f>
        <v>70697</v>
      </c>
      <c r="E9" s="172">
        <v>78299.123016837839</v>
      </c>
      <c r="F9" s="172">
        <v>98426.394824087183</v>
      </c>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Earnings Model</vt:lpstr>
      <vt:lpstr>Charts</vt:lpstr>
      <vt:lpstr>Revenue Progression</vt:lpstr>
      <vt:lpstr>'Earnings Model'!Print_Area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Owner</dc:creator>
  <cp:lastModifiedBy>Admin</cp:lastModifiedBy>
  <cp:lastPrinted>2015-01-03T01:11:29Z</cp:lastPrinted>
  <dcterms:created xsi:type="dcterms:W3CDTF">2014-10-18T18:34:10Z</dcterms:created>
  <dcterms:modified xsi:type="dcterms:W3CDTF">2020-07-25T16:26:19Z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