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FE6CCBDB-FA29-4004-AF41-CFB64266620F}" xr6:coauthVersionLast="45" xr6:coauthVersionMax="45" xr10:uidLastSave="{00000000-0000-0000-0000-000000000000}"/>
  <bookViews>
    <workbookView xWindow="-108" yWindow="-108" windowWidth="23256" windowHeight="13176"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4" i="3" l="1"/>
  <c r="AE84" i="3"/>
  <c r="AD84" i="3"/>
  <c r="AC84" i="3"/>
  <c r="AA84" i="3"/>
  <c r="Z84" i="3"/>
  <c r="Y84" i="3"/>
  <c r="D15" i="3" l="1"/>
  <c r="D21" i="3" s="1"/>
  <c r="D23" i="3" s="1"/>
  <c r="D25" i="3" s="1"/>
  <c r="D20" i="3"/>
  <c r="E15" i="3"/>
  <c r="E21" i="3" s="1"/>
  <c r="E23" i="3" s="1"/>
  <c r="E25" i="3" s="1"/>
  <c r="E20" i="3"/>
  <c r="F15" i="3"/>
  <c r="F21" i="3" s="1"/>
  <c r="F23" i="3" s="1"/>
  <c r="F25" i="3" s="1"/>
  <c r="F20" i="3"/>
  <c r="G15" i="3"/>
  <c r="G21" i="3" s="1"/>
  <c r="G23" i="3" s="1"/>
  <c r="G25" i="3" s="1"/>
  <c r="G17" i="3"/>
  <c r="G18" i="3"/>
  <c r="G20" i="3" s="1"/>
  <c r="G19" i="3"/>
  <c r="G24" i="3"/>
  <c r="I15" i="3"/>
  <c r="I20" i="3"/>
  <c r="I21" i="3" s="1"/>
  <c r="I23" i="3" s="1"/>
  <c r="I25" i="3" s="1"/>
  <c r="J15" i="3"/>
  <c r="J21" i="3" s="1"/>
  <c r="J23" i="3" s="1"/>
  <c r="J25" i="3" s="1"/>
  <c r="J20" i="3"/>
  <c r="K15" i="3"/>
  <c r="K21" i="3" s="1"/>
  <c r="K23" i="3" s="1"/>
  <c r="K25" i="3" s="1"/>
  <c r="K20" i="3"/>
  <c r="L15" i="3"/>
  <c r="L20" i="3"/>
  <c r="L21" i="3"/>
  <c r="L23" i="3" s="1"/>
  <c r="L25" i="3" s="1"/>
  <c r="N15" i="3"/>
  <c r="N20" i="3"/>
  <c r="N21" i="3" s="1"/>
  <c r="N23" i="3" s="1"/>
  <c r="N25" i="3" s="1"/>
  <c r="O15" i="3"/>
  <c r="O21" i="3" s="1"/>
  <c r="O23" i="3" s="1"/>
  <c r="O25" i="3" s="1"/>
  <c r="O20" i="3"/>
  <c r="P15" i="3"/>
  <c r="P21" i="3" s="1"/>
  <c r="P23" i="3" s="1"/>
  <c r="P25" i="3" s="1"/>
  <c r="P20" i="3"/>
  <c r="Q15" i="3"/>
  <c r="Q20" i="3"/>
  <c r="Q21" i="3"/>
  <c r="Q23" i="3" s="1"/>
  <c r="Q25" i="3" s="1"/>
  <c r="S15" i="3"/>
  <c r="S20" i="3"/>
  <c r="S21" i="3" s="1"/>
  <c r="S23" i="3" s="1"/>
  <c r="S25" i="3" s="1"/>
  <c r="W29" i="3" s="1"/>
  <c r="T15" i="3"/>
  <c r="T21" i="3" s="1"/>
  <c r="T23" i="3" s="1"/>
  <c r="T25" i="3" s="1"/>
  <c r="T20" i="3"/>
  <c r="U15" i="3"/>
  <c r="U21" i="3" s="1"/>
  <c r="U23" i="3" s="1"/>
  <c r="U25" i="3" s="1"/>
  <c r="U20" i="3"/>
  <c r="V13" i="3"/>
  <c r="V14" i="3"/>
  <c r="V15" i="3"/>
  <c r="V21" i="3" s="1"/>
  <c r="V23" i="3" s="1"/>
  <c r="V25" i="3" s="1"/>
  <c r="V17" i="3"/>
  <c r="V18" i="3"/>
  <c r="V19" i="3"/>
  <c r="V20" i="3"/>
  <c r="V22" i="3"/>
  <c r="V24" i="3"/>
  <c r="X15" i="3"/>
  <c r="X20" i="3"/>
  <c r="X21" i="3"/>
  <c r="X23" i="3" s="1"/>
  <c r="T81" i="3"/>
  <c r="U81" i="3"/>
  <c r="V81" i="3"/>
  <c r="X81" i="3"/>
  <c r="Y81" i="3"/>
  <c r="T43" i="3"/>
  <c r="U43" i="3"/>
  <c r="V43" i="3"/>
  <c r="X43" i="3"/>
  <c r="Y42" i="3"/>
  <c r="T53" i="3"/>
  <c r="U53" i="3"/>
  <c r="V53" i="3"/>
  <c r="Y53" i="3" s="1"/>
  <c r="X53" i="3"/>
  <c r="T45" i="3"/>
  <c r="U45" i="3"/>
  <c r="V45" i="3"/>
  <c r="X45" i="3"/>
  <c r="T55" i="3"/>
  <c r="U55" i="3"/>
  <c r="V55" i="3"/>
  <c r="X55" i="3"/>
  <c r="T47" i="3"/>
  <c r="U47" i="3"/>
  <c r="V47" i="3"/>
  <c r="X47" i="3"/>
  <c r="T57" i="3"/>
  <c r="U57" i="3"/>
  <c r="V57" i="3"/>
  <c r="X57" i="3"/>
  <c r="Y57" i="3"/>
  <c r="Y56" i="3" s="1"/>
  <c r="T49" i="3"/>
  <c r="U49" i="3"/>
  <c r="V49" i="3"/>
  <c r="X49" i="3"/>
  <c r="T59" i="3"/>
  <c r="U59" i="3"/>
  <c r="V59" i="3"/>
  <c r="X59" i="3"/>
  <c r="Y22" i="3"/>
  <c r="Z81" i="3"/>
  <c r="Z42" i="3"/>
  <c r="Z56" i="3"/>
  <c r="Z22" i="3"/>
  <c r="AA81" i="3"/>
  <c r="AA42" i="3"/>
  <c r="AA56" i="3"/>
  <c r="AA22" i="3"/>
  <c r="AC81" i="3"/>
  <c r="AC42" i="3"/>
  <c r="AC56" i="3"/>
  <c r="AC22" i="3"/>
  <c r="AD81" i="3"/>
  <c r="AD22" i="3"/>
  <c r="AE81" i="3"/>
  <c r="AE70" i="3"/>
  <c r="AE71" i="3"/>
  <c r="AE22" i="3"/>
  <c r="AF81" i="3"/>
  <c r="AF70" i="3"/>
  <c r="AF22" i="3"/>
  <c r="H13" i="3"/>
  <c r="H14" i="3"/>
  <c r="H15" i="3"/>
  <c r="H17" i="3"/>
  <c r="H20" i="3" s="1"/>
  <c r="H21" i="3" s="1"/>
  <c r="H23" i="3" s="1"/>
  <c r="H25" i="3" s="1"/>
  <c r="H18" i="3"/>
  <c r="H19" i="3"/>
  <c r="H22" i="3"/>
  <c r="H24" i="3"/>
  <c r="M13" i="3"/>
  <c r="M14" i="3"/>
  <c r="M15" i="3"/>
  <c r="M17" i="3"/>
  <c r="M20" i="3" s="1"/>
  <c r="M21" i="3" s="1"/>
  <c r="M23" i="3" s="1"/>
  <c r="M25" i="3" s="1"/>
  <c r="M18" i="3"/>
  <c r="M19" i="3"/>
  <c r="M22" i="3"/>
  <c r="M24" i="3"/>
  <c r="R13" i="3"/>
  <c r="R14" i="3"/>
  <c r="R15" i="3"/>
  <c r="R17" i="3"/>
  <c r="R20" i="3" s="1"/>
  <c r="R21" i="3" s="1"/>
  <c r="R23" i="3" s="1"/>
  <c r="R25" i="3" s="1"/>
  <c r="R18" i="3"/>
  <c r="R19" i="3"/>
  <c r="R22" i="3"/>
  <c r="R24" i="3"/>
  <c r="W13" i="3"/>
  <c r="W14" i="3"/>
  <c r="W15" i="3"/>
  <c r="W17" i="3"/>
  <c r="W18" i="3"/>
  <c r="W19" i="3"/>
  <c r="W20" i="3"/>
  <c r="W21" i="3"/>
  <c r="W23" i="3" s="1"/>
  <c r="W25" i="3" s="1"/>
  <c r="W22" i="3"/>
  <c r="W24" i="3"/>
  <c r="AB22" i="3"/>
  <c r="AG22" i="3"/>
  <c r="T80" i="3"/>
  <c r="T82" i="3"/>
  <c r="T79" i="3" s="1"/>
  <c r="U80" i="3"/>
  <c r="U82" i="3"/>
  <c r="U79" i="3"/>
  <c r="V80" i="3"/>
  <c r="V82" i="3" s="1"/>
  <c r="V79" i="3" s="1"/>
  <c r="X80" i="3"/>
  <c r="X82" i="3" s="1"/>
  <c r="X79" i="3" s="1"/>
  <c r="Y82" i="3"/>
  <c r="Z80" i="3"/>
  <c r="Z82" i="3" s="1"/>
  <c r="U31" i="3"/>
  <c r="V31" i="3"/>
  <c r="X69" i="3"/>
  <c r="X70" i="3"/>
  <c r="X71" i="3"/>
  <c r="X72" i="3"/>
  <c r="W73" i="3"/>
  <c r="R73" i="3"/>
  <c r="M73" i="3"/>
  <c r="H73" i="3"/>
  <c r="T76" i="3"/>
  <c r="U76" i="3"/>
  <c r="V76" i="3"/>
  <c r="X78" i="3"/>
  <c r="V78" i="3"/>
  <c r="V69" i="3"/>
  <c r="V70" i="3"/>
  <c r="V71" i="3"/>
  <c r="V72" i="3"/>
  <c r="V89" i="3"/>
  <c r="Z89" i="3" s="1"/>
  <c r="V88" i="3"/>
  <c r="V87" i="3"/>
  <c r="V86" i="3"/>
  <c r="Y86" i="3" s="1"/>
  <c r="Y89" i="3"/>
  <c r="Y88" i="3"/>
  <c r="Z88" i="3" s="1"/>
  <c r="Y87"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s="1"/>
  <c r="Q81" i="3"/>
  <c r="Q82" i="3"/>
  <c r="Q79" i="3" s="1"/>
  <c r="S82" i="3"/>
  <c r="S79" i="3"/>
  <c r="V40" i="3"/>
  <c r="X40" i="3"/>
  <c r="T78" i="3"/>
  <c r="Q78" i="3"/>
  <c r="S78" i="3"/>
  <c r="T72" i="3"/>
  <c r="T71" i="3"/>
  <c r="T70" i="3"/>
  <c r="T69" i="3"/>
  <c r="O43" i="3"/>
  <c r="O53" i="3"/>
  <c r="O45" i="3"/>
  <c r="O55" i="3"/>
  <c r="O47" i="3"/>
  <c r="O57" i="3"/>
  <c r="O49" i="3"/>
  <c r="O59" i="3"/>
  <c r="T40" i="3"/>
  <c r="O81" i="3"/>
  <c r="O82" i="3" s="1"/>
  <c r="T31" i="3"/>
  <c r="U66" i="3"/>
  <c r="V66" i="3"/>
  <c r="S66" i="3"/>
  <c r="W66" i="3" s="1"/>
  <c r="W67" i="3" s="1"/>
  <c r="T66" i="3"/>
  <c r="N53" i="3"/>
  <c r="X66" i="3"/>
  <c r="X67" i="3" s="1"/>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R81" i="3" s="1"/>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s="1"/>
  <c r="P40" i="3"/>
  <c r="P62" i="3" s="1"/>
  <c r="O40" i="3"/>
  <c r="O62" i="3" s="1"/>
  <c r="N40" i="3"/>
  <c r="N62" i="3" s="1"/>
  <c r="L40" i="3"/>
  <c r="L60" i="3" s="1"/>
  <c r="K40" i="3"/>
  <c r="K62" i="3" s="1"/>
  <c r="J40" i="3"/>
  <c r="J62" i="3" s="1"/>
  <c r="I40" i="3"/>
  <c r="I62" i="3" s="1"/>
  <c r="E40" i="3"/>
  <c r="E62" i="3" s="1"/>
  <c r="F40" i="3"/>
  <c r="F62" i="3" s="1"/>
  <c r="G40" i="3"/>
  <c r="G62" i="3" s="1"/>
  <c r="D40" i="3"/>
  <c r="D62" i="3" s="1"/>
  <c r="W82" i="3"/>
  <c r="I81" i="3"/>
  <c r="J81" i="3"/>
  <c r="M81" i="3" s="1"/>
  <c r="K81" i="3"/>
  <c r="L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s="1"/>
  <c r="N50" i="3"/>
  <c r="L50" i="3"/>
  <c r="N60" i="3" s="1"/>
  <c r="F50" i="3"/>
  <c r="G50" i="3"/>
  <c r="G60" i="3"/>
  <c r="E50" i="3"/>
  <c r="F60" i="3" s="1"/>
  <c r="D50" i="3"/>
  <c r="J50" i="3"/>
  <c r="K60" i="3" s="1"/>
  <c r="K5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R27" i="3" s="1"/>
  <c r="Q27" i="3"/>
  <c r="P27" i="3"/>
  <c r="O27" i="3"/>
  <c r="N27" i="3"/>
  <c r="M26" i="3"/>
  <c r="L27" i="3"/>
  <c r="K27" i="3"/>
  <c r="J27" i="3"/>
  <c r="I27" i="3"/>
  <c r="H26" i="3"/>
  <c r="F27" i="3"/>
  <c r="G27" i="3"/>
  <c r="K82" i="3"/>
  <c r="K79" i="3" s="1"/>
  <c r="J82" i="3"/>
  <c r="I82" i="3"/>
  <c r="W81" i="3"/>
  <c r="P75" i="3"/>
  <c r="G75" i="3"/>
  <c r="K75" i="3"/>
  <c r="I75" i="3"/>
  <c r="J75" i="3"/>
  <c r="L75" i="3"/>
  <c r="M75" i="3"/>
  <c r="F75" i="3"/>
  <c r="N75" i="3"/>
  <c r="O75" i="3"/>
  <c r="O64" i="3"/>
  <c r="N64" i="3"/>
  <c r="L64" i="3"/>
  <c r="K64" i="3"/>
  <c r="I64" i="3"/>
  <c r="I78" i="3"/>
  <c r="J79" i="3"/>
  <c r="P64" i="3"/>
  <c r="I79" i="3"/>
  <c r="E75" i="3"/>
  <c r="L30" i="3"/>
  <c r="J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M76" i="3"/>
  <c r="Q60" i="3"/>
  <c r="D75" i="3"/>
  <c r="J60" i="3"/>
  <c r="I60" i="3"/>
  <c r="E60" i="3"/>
  <c r="O60" i="3"/>
  <c r="S62" i="3"/>
  <c r="S60" i="3"/>
  <c r="M74" i="3"/>
  <c r="J74" i="3"/>
  <c r="H70" i="3"/>
  <c r="E31" i="3"/>
  <c r="E27" i="3"/>
  <c r="E30" i="3"/>
  <c r="X50" i="3"/>
  <c r="X60" i="3" s="1"/>
  <c r="AB81" i="3"/>
  <c r="D76" i="3"/>
  <c r="M31" i="3"/>
  <c r="M30" i="3"/>
  <c r="M27" i="3"/>
  <c r="U62" i="3"/>
  <c r="U60" i="3"/>
  <c r="D31" i="3"/>
  <c r="D30" i="3"/>
  <c r="D27" i="3"/>
  <c r="H75" i="3"/>
  <c r="T62" i="3"/>
  <c r="T60" i="3"/>
  <c r="V62" i="3"/>
  <c r="V60" i="3"/>
  <c r="S65" i="3"/>
  <c r="S64" i="3"/>
  <c r="S68" i="3"/>
  <c r="H76" i="3"/>
  <c r="W64" i="3"/>
  <c r="V65" i="3"/>
  <c r="V64" i="3"/>
  <c r="T65" i="3"/>
  <c r="T64" i="3"/>
  <c r="U65" i="3"/>
  <c r="U64" i="3"/>
  <c r="S74" i="3"/>
  <c r="S75" i="3"/>
  <c r="U74" i="3"/>
  <c r="T74" i="3"/>
  <c r="X65" i="3"/>
  <c r="X64" i="3"/>
  <c r="V68" i="3"/>
  <c r="V75" i="3"/>
  <c r="V74" i="3"/>
  <c r="U68" i="3"/>
  <c r="AG81" i="3"/>
  <c r="T68" i="3"/>
  <c r="X62" i="3"/>
  <c r="H30" i="3"/>
  <c r="H27" i="3"/>
  <c r="H31" i="3"/>
  <c r="W74" i="3"/>
  <c r="X74" i="3"/>
  <c r="X75" i="3"/>
  <c r="S30" i="3"/>
  <c r="S27" i="3"/>
  <c r="W69" i="3"/>
  <c r="V27" i="3"/>
  <c r="T75" i="3"/>
  <c r="U75" i="3"/>
  <c r="W75" i="3"/>
  <c r="W76" i="3"/>
  <c r="U27" i="3"/>
  <c r="T30" i="3"/>
  <c r="T27" i="3"/>
  <c r="W27" i="3"/>
  <c r="V30" i="3"/>
  <c r="U30" i="3"/>
  <c r="Y78" i="3"/>
  <c r="Z78" i="3"/>
  <c r="W28" i="3"/>
  <c r="W30" i="3"/>
  <c r="W31" i="3"/>
  <c r="AA78" i="3"/>
  <c r="AC78" i="3"/>
  <c r="AD78" i="3" s="1"/>
  <c r="Y28" i="3" l="1"/>
  <c r="Z28" i="3" s="1"/>
  <c r="AA80" i="3"/>
  <c r="AD56" i="3"/>
  <c r="AE57" i="3"/>
  <c r="AF56" i="3" s="1"/>
  <c r="AE42" i="3"/>
  <c r="AA89" i="3"/>
  <c r="AC89" i="3"/>
  <c r="Z86" i="3"/>
  <c r="AA86" i="3"/>
  <c r="AE78" i="3"/>
  <c r="P79" i="3"/>
  <c r="P78" i="3"/>
  <c r="AF78" i="3"/>
  <c r="O79" i="3"/>
  <c r="O78" i="3"/>
  <c r="L62" i="3"/>
  <c r="N82" i="3"/>
  <c r="Z87" i="3"/>
  <c r="Y48" i="3"/>
  <c r="Y52" i="3"/>
  <c r="AC52" i="3"/>
  <c r="AC36" i="3" s="1"/>
  <c r="Y79" i="3"/>
  <c r="Y46" i="3"/>
  <c r="Y54" i="3"/>
  <c r="Y44" i="3"/>
  <c r="X76" i="3"/>
  <c r="AC76" i="3" s="1"/>
  <c r="X25" i="3"/>
  <c r="K78" i="3"/>
  <c r="AB88" i="3"/>
  <c r="AA88" i="3"/>
  <c r="Z79" i="3"/>
  <c r="Y58" i="3"/>
  <c r="Y36" i="3"/>
  <c r="AC80" i="3" l="1"/>
  <c r="AA82" i="3"/>
  <c r="AB82" i="3" s="1"/>
  <c r="AA28" i="3"/>
  <c r="AE56" i="3"/>
  <c r="AC45" i="3"/>
  <c r="AD42" i="3"/>
  <c r="AF42" i="3"/>
  <c r="AC87" i="3"/>
  <c r="Z46" i="3"/>
  <c r="AA52" i="3"/>
  <c r="Y39" i="3"/>
  <c r="N79" i="3"/>
  <c r="R82" i="3"/>
  <c r="N78" i="3"/>
  <c r="AA58" i="3"/>
  <c r="X31" i="3"/>
  <c r="X30" i="3"/>
  <c r="X27" i="3"/>
  <c r="Y38" i="3"/>
  <c r="AA87" i="3"/>
  <c r="AE76" i="3"/>
  <c r="AF76" i="3"/>
  <c r="AD76" i="3"/>
  <c r="Z54" i="3"/>
  <c r="Y29" i="3"/>
  <c r="Z29" i="3" s="1"/>
  <c r="AG84" i="3"/>
  <c r="AC88" i="3"/>
  <c r="AB86" i="3"/>
  <c r="AC86" i="3"/>
  <c r="AD86" i="3" s="1"/>
  <c r="AB89" i="3"/>
  <c r="Z58" i="3"/>
  <c r="Y37" i="3"/>
  <c r="Y40" i="3" s="1"/>
  <c r="Y50" i="3"/>
  <c r="Z44" i="3"/>
  <c r="AC47" i="3"/>
  <c r="AC46" i="3" s="1"/>
  <c r="AA79" i="3"/>
  <c r="Z52" i="3"/>
  <c r="Z48" i="3"/>
  <c r="AB87" i="3"/>
  <c r="AD89" i="3"/>
  <c r="AD80" i="3" l="1"/>
  <c r="AC82" i="3"/>
  <c r="AC28" i="3" s="1"/>
  <c r="AC58" i="3"/>
  <c r="AC54" i="3"/>
  <c r="AD54" i="3"/>
  <c r="AA54" i="3"/>
  <c r="AF52" i="3"/>
  <c r="AF36" i="3" s="1"/>
  <c r="AD46" i="3"/>
  <c r="AD38" i="3" s="1"/>
  <c r="AA44" i="3"/>
  <c r="AC44" i="3"/>
  <c r="AE44" i="3"/>
  <c r="AF86" i="3"/>
  <c r="Z39" i="3"/>
  <c r="AE52" i="3"/>
  <c r="AE36" i="3" s="1"/>
  <c r="Z36" i="3"/>
  <c r="AE89" i="3"/>
  <c r="AF89" i="3" s="1"/>
  <c r="AA46" i="3"/>
  <c r="AC38" i="3" s="1"/>
  <c r="AD52" i="3"/>
  <c r="AD36" i="3" s="1"/>
  <c r="AE46" i="3"/>
  <c r="AG86" i="3"/>
  <c r="AE86" i="3"/>
  <c r="Z37" i="3"/>
  <c r="Z50" i="3"/>
  <c r="AC79" i="3"/>
  <c r="AD79" i="3" s="1"/>
  <c r="AA36" i="3"/>
  <c r="AD88" i="3"/>
  <c r="AD87" i="3"/>
  <c r="AE87" i="3" s="1"/>
  <c r="AF87" i="3" s="1"/>
  <c r="Y13" i="3"/>
  <c r="Y62" i="3" s="1"/>
  <c r="Y60" i="3"/>
  <c r="AA29" i="3"/>
  <c r="AA48" i="3"/>
  <c r="Z38" i="3"/>
  <c r="AA37" i="3"/>
  <c r="AD48" i="3"/>
  <c r="AC29" i="3" l="1"/>
  <c r="AD82" i="3"/>
  <c r="AD28" i="3" s="1"/>
  <c r="AE80" i="3"/>
  <c r="AE38" i="3"/>
  <c r="AD58" i="3"/>
  <c r="AE55" i="3"/>
  <c r="AE54" i="3" s="1"/>
  <c r="AC37" i="3"/>
  <c r="AF46" i="3"/>
  <c r="AF38" i="3" s="1"/>
  <c r="AA50" i="3"/>
  <c r="AF44" i="3"/>
  <c r="AD44" i="3"/>
  <c r="AD37" i="3" s="1"/>
  <c r="AA39" i="3"/>
  <c r="Y17" i="3"/>
  <c r="Y18" i="3"/>
  <c r="Y14" i="3"/>
  <c r="Y15" i="3" s="1"/>
  <c r="Y19" i="3"/>
  <c r="Y66" i="3"/>
  <c r="Y64" i="3"/>
  <c r="Y65" i="3"/>
  <c r="AG87" i="3"/>
  <c r="AA38" i="3"/>
  <c r="AG89" i="3"/>
  <c r="AD29" i="3"/>
  <c r="AE79" i="3"/>
  <c r="AF79" i="3" s="1"/>
  <c r="AF88" i="3"/>
  <c r="AG88" i="3" s="1"/>
  <c r="AE88" i="3"/>
  <c r="AC48" i="3"/>
  <c r="AE48" i="3"/>
  <c r="Z40" i="3"/>
  <c r="AF80" i="3" l="1"/>
  <c r="AF82" i="3" s="1"/>
  <c r="AE82" i="3"/>
  <c r="AG82" i="3" s="1"/>
  <c r="AF58" i="3"/>
  <c r="AE58" i="3"/>
  <c r="AE39" i="3" s="1"/>
  <c r="AF54" i="3"/>
  <c r="AF37" i="3" s="1"/>
  <c r="AA40" i="3"/>
  <c r="AA13" i="3" s="1"/>
  <c r="AA62" i="3" s="1"/>
  <c r="AE37" i="3"/>
  <c r="AD50" i="3"/>
  <c r="Y74" i="3"/>
  <c r="AF48" i="3"/>
  <c r="Z13" i="3"/>
  <c r="Z62" i="3" s="1"/>
  <c r="Z60" i="3"/>
  <c r="AC39" i="3"/>
  <c r="AC40" i="3" s="1"/>
  <c r="AC50" i="3"/>
  <c r="Y67" i="3"/>
  <c r="Y20" i="3"/>
  <c r="Y21" i="3" s="1"/>
  <c r="AE50" i="3"/>
  <c r="AD39" i="3"/>
  <c r="AD40" i="3" s="1"/>
  <c r="AE29" i="3" l="1"/>
  <c r="AF29" i="3" s="1"/>
  <c r="AE28" i="3"/>
  <c r="AF28" i="3" s="1"/>
  <c r="AE40" i="3"/>
  <c r="AE13" i="3" s="1"/>
  <c r="AE62" i="3" s="1"/>
  <c r="AA60" i="3"/>
  <c r="Y23" i="3"/>
  <c r="Y75" i="3"/>
  <c r="AC13" i="3"/>
  <c r="AC62" i="3" s="1"/>
  <c r="AC60" i="3"/>
  <c r="AF39" i="3"/>
  <c r="AF40" i="3" s="1"/>
  <c r="AF50" i="3"/>
  <c r="AD13" i="3"/>
  <c r="AD62" i="3" s="1"/>
  <c r="AD60" i="3"/>
  <c r="AA17" i="3"/>
  <c r="AA18" i="3"/>
  <c r="AA14" i="3"/>
  <c r="AA19" i="3"/>
  <c r="AA64" i="3"/>
  <c r="AA66" i="3"/>
  <c r="AA67" i="3" s="1"/>
  <c r="AA65" i="3"/>
  <c r="Z18" i="3"/>
  <c r="Z14" i="3"/>
  <c r="Z15" i="3" s="1"/>
  <c r="Z19" i="3"/>
  <c r="Z17" i="3"/>
  <c r="Z64" i="3"/>
  <c r="Z66" i="3"/>
  <c r="Z65" i="3"/>
  <c r="AB13" i="3"/>
  <c r="AE17" i="3" l="1"/>
  <c r="AE19" i="3"/>
  <c r="AE66" i="3"/>
  <c r="AE67" i="3" s="1"/>
  <c r="AE18" i="3"/>
  <c r="AE64" i="3"/>
  <c r="AE14" i="3"/>
  <c r="AE15" i="3" s="1"/>
  <c r="AE60" i="3"/>
  <c r="AB18" i="3"/>
  <c r="AE65" i="3"/>
  <c r="AA74" i="3"/>
  <c r="Z74" i="3"/>
  <c r="AB14" i="3"/>
  <c r="AB15" i="3" s="1"/>
  <c r="AA20" i="3"/>
  <c r="AD18" i="3"/>
  <c r="AD14" i="3"/>
  <c r="AD15" i="3" s="1"/>
  <c r="AD19" i="3"/>
  <c r="AD17" i="3"/>
  <c r="AD66" i="3"/>
  <c r="AD67" i="3" s="1"/>
  <c r="AD65" i="3"/>
  <c r="AD64" i="3"/>
  <c r="Z20" i="3"/>
  <c r="Z21" i="3" s="1"/>
  <c r="AB17" i="3"/>
  <c r="AA15" i="3"/>
  <c r="AC18" i="3"/>
  <c r="AC14" i="3"/>
  <c r="AC15" i="3" s="1"/>
  <c r="AC19" i="3"/>
  <c r="AC17" i="3"/>
  <c r="AC66" i="3"/>
  <c r="AC64" i="3"/>
  <c r="AC65" i="3"/>
  <c r="AF13" i="3"/>
  <c r="AF60" i="3"/>
  <c r="AB64" i="3"/>
  <c r="Z67" i="3"/>
  <c r="AB66" i="3"/>
  <c r="AB67" i="3" s="1"/>
  <c r="AB19" i="3"/>
  <c r="Y24" i="3"/>
  <c r="Y25" i="3" s="1"/>
  <c r="AE20" i="3" l="1"/>
  <c r="AE21" i="3" s="1"/>
  <c r="AE23" i="3" s="1"/>
  <c r="AA21" i="3"/>
  <c r="AA75" i="3" s="1"/>
  <c r="AD20" i="3"/>
  <c r="AD21" i="3" s="1"/>
  <c r="Y31" i="3"/>
  <c r="Y30" i="3"/>
  <c r="Y27" i="3"/>
  <c r="AF17" i="3"/>
  <c r="AG17" i="3" s="1"/>
  <c r="AF14" i="3"/>
  <c r="AG14" i="3" s="1"/>
  <c r="AF18" i="3"/>
  <c r="AG18" i="3" s="1"/>
  <c r="AF19" i="3"/>
  <c r="AG19" i="3" s="1"/>
  <c r="AF65" i="3"/>
  <c r="AF64" i="3"/>
  <c r="AF66" i="3"/>
  <c r="AF67" i="3" s="1"/>
  <c r="AB69" i="3"/>
  <c r="AC20" i="3"/>
  <c r="AC21" i="3" s="1"/>
  <c r="AF62" i="3"/>
  <c r="AB73" i="3"/>
  <c r="AB74" i="3"/>
  <c r="AC67" i="3"/>
  <c r="AB20" i="3"/>
  <c r="AB21" i="3" s="1"/>
  <c r="AD74" i="3"/>
  <c r="Z23" i="3"/>
  <c r="Z75" i="3"/>
  <c r="AG13" i="3"/>
  <c r="AC74" i="3"/>
  <c r="AE74" i="3"/>
  <c r="AA23" i="3" l="1"/>
  <c r="AA24" i="3" s="1"/>
  <c r="AA25" i="3" s="1"/>
  <c r="AE75" i="3"/>
  <c r="AG66" i="3"/>
  <c r="AG67" i="3" s="1"/>
  <c r="AD23" i="3"/>
  <c r="AD24" i="3" s="1"/>
  <c r="AD25" i="3" s="1"/>
  <c r="AD75" i="3"/>
  <c r="AF74" i="3"/>
  <c r="AB23" i="3"/>
  <c r="AB75" i="3"/>
  <c r="AG73" i="3"/>
  <c r="AG74" i="3"/>
  <c r="AF20" i="3"/>
  <c r="AC23" i="3"/>
  <c r="AC75" i="3"/>
  <c r="AG15" i="3"/>
  <c r="AG64" i="3"/>
  <c r="AG20" i="3"/>
  <c r="AF15" i="3"/>
  <c r="Z24" i="3"/>
  <c r="AE24" i="3"/>
  <c r="AE25" i="3" s="1"/>
  <c r="AB24" i="3" l="1"/>
  <c r="AB76" i="3" s="1"/>
  <c r="AF21" i="3"/>
  <c r="AF75" i="3" s="1"/>
  <c r="AA30" i="3"/>
  <c r="AA27" i="3"/>
  <c r="AA31" i="3"/>
  <c r="AD30" i="3"/>
  <c r="AD31" i="3"/>
  <c r="AD27" i="3"/>
  <c r="AC24" i="3"/>
  <c r="AC25" i="3" s="1"/>
  <c r="Z25" i="3"/>
  <c r="AG21" i="3"/>
  <c r="AG69" i="3"/>
  <c r="AE27" i="3"/>
  <c r="AE31" i="3"/>
  <c r="AE30" i="3"/>
  <c r="AB25" i="3" l="1"/>
  <c r="AB27" i="3" s="1"/>
  <c r="AF23" i="3"/>
  <c r="AF24" i="3" s="1"/>
  <c r="AG24" i="3" s="1"/>
  <c r="AC30" i="3"/>
  <c r="AC31" i="3"/>
  <c r="AC27" i="3"/>
  <c r="Z30" i="3"/>
  <c r="Z27" i="3"/>
  <c r="Z31" i="3"/>
  <c r="AG23" i="3"/>
  <c r="AG75" i="3"/>
  <c r="AB28" i="3" l="1"/>
  <c r="AB30" i="3" s="1"/>
  <c r="AB29" i="3"/>
  <c r="AB31" i="3" s="1"/>
  <c r="AG76" i="3"/>
  <c r="AG25" i="3"/>
  <c r="AF25" i="3"/>
  <c r="AG27" i="3" l="1"/>
  <c r="AG29" i="3"/>
  <c r="AG31" i="3" s="1"/>
  <c r="AG28" i="3"/>
  <c r="AG30" i="3" s="1"/>
  <c r="AF27"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43" authorId="0" shapeId="0" xr:uid="{CA776002-2BD9-4341-A1D5-7E072FA9BBD2}">
      <text>
        <r>
          <rPr>
            <b/>
            <sz val="9"/>
            <color rgb="FF000000"/>
            <rFont val="Tahoma"/>
            <family val="2"/>
          </rPr>
          <t xml:space="preserve">Primary Input: </t>
        </r>
        <r>
          <rPr>
            <sz val="9"/>
            <color rgb="FF000000"/>
            <rFont val="Tahoma"/>
            <family val="2"/>
          </rPr>
          <t xml:space="preserve">If you believe that new users will join the Facebook platforms, increase these growth rates for the various regions. If you believe users will leave, or begin to use Facebook less then monthly, decrease the growth rates.
</t>
        </r>
        <r>
          <rPr>
            <sz val="9"/>
            <color rgb="FF000000"/>
            <rFont val="Tahoma"/>
            <family val="2"/>
          </rPr>
          <t xml:space="preserve">
</t>
        </r>
        <r>
          <rPr>
            <sz val="9"/>
            <color rgb="FF000000"/>
            <rFont val="Tahoma"/>
            <family val="2"/>
          </rPr>
          <t>It is my belief that in the coming months, there wiill be more users that Facebook is able to aquire. Currently, states are in a mix between a return to normalcy or experiencing a second wave/outbreak of COVID-19. Many college student and people are going to be home as well, thus I feel that there will be a increasing rise in users in the next few quarters. I believe this will continue till a vaccine is found, and once this occurs there will be a return to similar growth that was experienced during that of the growth rates before the pandemic occured.</t>
        </r>
      </text>
    </comment>
    <comment ref="Y53" authorId="0" shapeId="0" xr:uid="{EB180744-0605-4677-8197-E126E6D6DF86}">
      <text>
        <r>
          <rPr>
            <b/>
            <sz val="9"/>
            <color rgb="FF000000"/>
            <rFont val="Tahoma"/>
            <family val="2"/>
          </rPr>
          <t xml:space="preserve">Primary Input: </t>
        </r>
        <r>
          <rPr>
            <sz val="9"/>
            <color rgb="FF000000"/>
            <rFont val="Tahoma"/>
            <family val="2"/>
          </rPr>
          <t xml:space="preserve">If you believe there will be an increase in user engagement number ads, quality, relevance and performance of ads, than increase the future ARPU estimates for the various regions. If not decrease the ARPU.
</t>
        </r>
        <r>
          <rPr>
            <sz val="9"/>
            <color rgb="FF000000"/>
            <rFont val="Tahoma"/>
            <family val="2"/>
          </rPr>
          <t xml:space="preserve">
</t>
        </r>
        <r>
          <rPr>
            <sz val="9"/>
            <color rgb="FF000000"/>
            <rFont val="Tahoma"/>
            <family val="2"/>
          </rPr>
          <t>Recently, over the past week Facebook has been under fire. Many companies have decided to stop placing their ads on Facebook. These include Disney, Walmart, McDonalds, and Geico.Many companies have decided to leave due to Facebook being unwilling to address political issues and social issues. The added budgetary ristrictions due  to COVID-19 has also restricted a lot of companies. With this in mind, I believe that the Average Revenue Per User will decrease notably. After a vaccine arises in the next year and an appropriate response is to made by Facebook, the APRU will work towards normalcy next year.</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rgb="FF000000"/>
            <rFont val="Tahoma"/>
            <family val="2"/>
          </rPr>
          <t xml:space="preserve">2Q2019 Earnings Call Guidance: </t>
        </r>
        <r>
          <rPr>
            <sz val="9"/>
            <color rgb="FF000000"/>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rgb="FF000000"/>
            <rFont val="Tahoma"/>
            <family val="2"/>
          </rPr>
          <t xml:space="preserve">
</t>
        </r>
        <r>
          <rPr>
            <b/>
            <sz val="9"/>
            <color rgb="FF000000"/>
            <rFont val="Tahoma"/>
            <family val="2"/>
          </rPr>
          <t xml:space="preserve">
</t>
        </r>
        <r>
          <rPr>
            <b/>
            <sz val="9"/>
            <color rgb="FF000000"/>
            <rFont val="Tahoma"/>
            <family val="2"/>
          </rPr>
          <t xml:space="preserve">Prior Gudiance:
</t>
        </r>
        <r>
          <rPr>
            <b/>
            <sz val="9"/>
            <color rgb="FF000000"/>
            <rFont val="Tahoma"/>
            <family val="2"/>
          </rPr>
          <t xml:space="preserve">1Q2019 Earnings Call Guidance: </t>
        </r>
        <r>
          <rPr>
            <sz val="9"/>
            <color rgb="FF000000"/>
            <rFont val="Tahoma"/>
            <family val="2"/>
          </rPr>
          <t xml:space="preserve">"We continue to expect that our revenue growth rates will decelerate sequentially throughout 2019 on a constant currency basis. In addition, we anticipate ad targeting related headwinds will be more pronounced in the second half of 2019." 
</t>
        </r>
        <r>
          <rPr>
            <sz val="9"/>
            <color rgb="FF000000"/>
            <rFont val="Tahoma"/>
            <family val="2"/>
          </rPr>
          <t xml:space="preserve">"And then, Dave, just to come back to your comments about revenue for the year you mentioned the ad targeting headwinds would be more pronounced in the second half. Can you help us better understand why that is, the sort of changes to expect that would drive that? " 
</t>
        </r>
        <r>
          <rPr>
            <sz val="9"/>
            <color rgb="FF000000"/>
            <rFont val="Tahoma"/>
            <family val="2"/>
          </rPr>
          <t xml:space="preserve">"We already talked about on the supply side the impact that Stories is having. And the supply growth really getting driven by Stories is coming through at lower prices, so that's one of the factors that factors into the lower growth outlook for the second half.
</t>
        </r>
        <r>
          <rPr>
            <sz val="9"/>
            <color rgb="FF000000"/>
            <rFont val="Tahoma"/>
            <family val="2"/>
          </rPr>
          <t xml:space="preserve">
</t>
        </r>
        <r>
          <rPr>
            <sz val="9"/>
            <color rgb="FF000000"/>
            <rFont val="Tahoma"/>
            <family val="2"/>
          </rPr>
          <t xml:space="preserve">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t>
        </r>
        <r>
          <rPr>
            <sz val="9"/>
            <color rgb="FF000000"/>
            <rFont val="Tahoma"/>
            <family val="2"/>
          </rPr>
          <t xml:space="preserve">seen that come up both in Europe and around the world. That means those people are seeing new less relevant ads and that's an ad targeting headwind for our business.
</t>
        </r>
        <r>
          <rPr>
            <sz val="9"/>
            <color rgb="FF000000"/>
            <rFont val="Tahoma"/>
            <family val="2"/>
          </rPr>
          <t xml:space="preserve">
</t>
        </r>
        <r>
          <rPr>
            <sz val="9"/>
            <color rgb="FF000000"/>
            <rFont val="Tahoma"/>
            <family val="2"/>
          </rPr>
          <t>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rgb="FF000000"/>
            <rFont val="Tahoma"/>
            <family val="2"/>
          </rPr>
          <t xml:space="preserve">
</t>
        </r>
        <r>
          <rPr>
            <b/>
            <sz val="9"/>
            <color rgb="FF000000"/>
            <rFont val="Tahoma"/>
            <family val="2"/>
          </rPr>
          <t xml:space="preserve">
</t>
        </r>
        <r>
          <rPr>
            <b/>
            <sz val="9"/>
            <color rgb="FF000000"/>
            <rFont val="Tahoma"/>
            <family val="2"/>
          </rPr>
          <t xml:space="preserve">4Q2018 Earnings call guidance: </t>
        </r>
        <r>
          <rPr>
            <sz val="9"/>
            <color rgb="FF000000"/>
            <rFont val="Tahoma"/>
            <family val="2"/>
          </rPr>
          <t xml:space="preserve">"In Q1, we expect our total revenue growth rate to decelerate by a mid-single digit percentage on a constant currency basis compared to the Q4 rate. We also expect that our revenue growth rates will continue to decelerate sequentially throughout 2019 on a constant currency basis."
</t>
        </r>
        <r>
          <rPr>
            <sz val="9"/>
            <color rgb="FF000000"/>
            <rFont val="Tahoma"/>
            <family val="2"/>
          </rPr>
          <t xml:space="preserve">
</t>
        </r>
        <r>
          <rPr>
            <sz val="9"/>
            <color rgb="FF000000"/>
            <rFont val="Tahoma"/>
            <family val="2"/>
          </rPr>
          <t xml:space="preserve">"We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t>
        </r>
        <r>
          <rPr>
            <sz val="9"/>
            <color rgb="FF000000"/>
            <rFont val="Tahoma"/>
            <family val="2"/>
          </rPr>
          <t>-Dave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r>
          <rPr>
            <sz val="9"/>
            <color rgb="FF000000"/>
            <rFont val="Tahoma"/>
            <family val="2"/>
          </rPr>
          <t xml:space="preserve">
</t>
        </r>
      </text>
    </comment>
    <comment ref="AB73" authorId="0" shapeId="0" xr:uid="{08A898E8-7F7A-414E-815F-EC25D459F691}">
      <text>
        <r>
          <rPr>
            <b/>
            <sz val="9"/>
            <color rgb="FF000000"/>
            <rFont val="Tahoma"/>
            <family val="2"/>
          </rPr>
          <t>Management Guidance:</t>
        </r>
        <r>
          <rPr>
            <sz val="9"/>
            <color rgb="FF000000"/>
            <rFont val="Tahoma"/>
            <family val="2"/>
          </rPr>
          <t xml:space="preserve"> 
</t>
        </r>
        <r>
          <rPr>
            <sz val="9"/>
            <color rgb="FF000000"/>
            <rFont val="Tahoma"/>
            <family val="2"/>
          </rPr>
          <t xml:space="preserve">"We expect total expenses in 2020 to be between $52-56 billion, down from the prior range of $54-59 billion."
</t>
        </r>
        <r>
          <rPr>
            <sz val="9"/>
            <color rgb="FF000000"/>
            <rFont val="Tahoma"/>
            <family val="2"/>
          </rPr>
          <t xml:space="preserve">
</t>
        </r>
        <r>
          <rPr>
            <b/>
            <sz val="9"/>
            <color rgb="FF000000"/>
            <rFont val="Tahoma"/>
            <family val="2"/>
          </rPr>
          <t xml:space="preserve">Source: </t>
        </r>
        <r>
          <rPr>
            <sz val="9"/>
            <color rgb="FF000000"/>
            <rFont val="Tahoma"/>
            <family val="2"/>
          </rPr>
          <t xml:space="preserve">1Q2020 earnings conference call
</t>
        </r>
        <r>
          <rPr>
            <sz val="9"/>
            <color rgb="FF000000"/>
            <rFont val="Tahoma"/>
            <family val="2"/>
          </rPr>
          <t xml:space="preserve">
</t>
        </r>
        <r>
          <rPr>
            <sz val="9"/>
            <color rgb="FF000000"/>
            <rFont val="Tahoma"/>
            <family val="2"/>
          </rPr>
          <t xml:space="preserve">"Marketing and Sales grew 38% and was driven by consumer and growth marketing"
</t>
        </r>
        <r>
          <rPr>
            <b/>
            <sz val="9"/>
            <color rgb="FF000000"/>
            <rFont val="Tahoma"/>
            <family val="2"/>
          </rPr>
          <t xml:space="preserve">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<sst xmlns="http://schemas.openxmlformats.org/spreadsheetml/2006/main" count="416" uniqueCount="134">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</sst>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cellStyleXfs>
  <cellXfs count="19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5"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5"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2638.1950000000002</c:v>
                </c:pt>
                <c:pt idx="5">
                  <c:v>2696.11</c:v>
                </c:pt>
                <c:pt idx="6">
                  <c:v>2769.8780000000002</c:v>
                </c:pt>
                <c:pt idx="7">
                  <c:v>2866.2693421890926</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6.6402635498117544</c:v>
                </c:pt>
                <c:pt idx="5">
                  <c:v>6.7162524675660649</c:v>
                </c:pt>
                <c:pt idx="6">
                  <c:v>7.7295411777340153</c:v>
                </c:pt>
                <c:pt idx="7">
                  <c:v>6.510913187765369</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V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13" t="s">
        <v>15</v>
      </c>
    </row>
    <row r="2" spans="1:61" ht="59.25" customHeight="1" x14ac:dyDescent="0.3">
      <c r="B2" s="180" t="s">
        <v>14</v>
      </c>
      <c r="C2" s="181"/>
      <c r="K2" s="12"/>
    </row>
    <row r="3" spans="1:61" x14ac:dyDescent="0.3">
      <c r="B3" s="190" t="s">
        <v>131</v>
      </c>
      <c r="C3" s="191"/>
      <c r="D3" s="13"/>
      <c r="G3" s="14"/>
      <c r="H3" s="14"/>
    </row>
    <row r="4" spans="1:61" x14ac:dyDescent="0.3">
      <c r="B4" s="192" t="s">
        <v>132</v>
      </c>
      <c r="C4" s="193"/>
      <c r="D4" s="13"/>
      <c r="G4" s="14"/>
      <c r="H4" s="14"/>
      <c r="BI4" s="4" t="s">
        <v>15</v>
      </c>
    </row>
    <row r="5" spans="1:61" x14ac:dyDescent="0.3">
      <c r="B5" s="194" t="s">
        <v>133</v>
      </c>
      <c r="C5" s="195"/>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24" customFormat="1" ht="14.55" hidden="1" customHeight="1" x14ac:dyDescent="0.3">
      <c r="B6" s="155"/>
      <c r="C6" s="156"/>
      <c r="D6" s="157"/>
      <c r="E6" s="157"/>
      <c r="F6" s="157"/>
      <c r="G6" s="140"/>
      <c r="H6" s="140"/>
      <c r="I6" s="157"/>
      <c r="J6" s="157"/>
      <c r="K6" s="157"/>
      <c r="L6" s="157"/>
      <c r="M6" s="158"/>
      <c r="N6" s="157"/>
      <c r="O6" s="157"/>
      <c r="P6" s="157"/>
      <c r="Q6" s="157"/>
      <c r="R6" s="157"/>
      <c r="S6" s="157"/>
      <c r="T6" s="159"/>
      <c r="U6" s="160"/>
      <c r="V6" s="157"/>
      <c r="W6" s="159"/>
      <c r="X6" s="157"/>
      <c r="Y6" s="157"/>
      <c r="Z6" s="157"/>
      <c r="AA6" s="157"/>
      <c r="AB6" s="157"/>
      <c r="AC6" s="157"/>
      <c r="AD6" s="157"/>
      <c r="AE6" s="157"/>
      <c r="AF6" s="157"/>
      <c r="AG6" s="157"/>
    </row>
    <row r="7" spans="1:61" s="124" customFormat="1" ht="14.55" hidden="1" customHeight="1" x14ac:dyDescent="0.3">
      <c r="B7" s="161"/>
      <c r="C7" s="162"/>
      <c r="D7" s="157"/>
      <c r="E7" s="157"/>
      <c r="F7" s="157"/>
      <c r="G7" s="157"/>
      <c r="H7" s="128"/>
      <c r="I7" s="128"/>
      <c r="J7" s="128"/>
      <c r="K7" s="128"/>
      <c r="L7" s="128"/>
      <c r="M7" s="128"/>
      <c r="N7" s="128"/>
      <c r="O7" s="128"/>
      <c r="P7" s="128"/>
      <c r="Q7" s="128"/>
      <c r="R7" s="128"/>
      <c r="S7" s="128"/>
      <c r="T7" s="159"/>
      <c r="U7" s="160"/>
      <c r="V7" s="128"/>
      <c r="W7" s="159"/>
      <c r="X7" s="128"/>
      <c r="Y7" s="128"/>
      <c r="Z7" s="128"/>
      <c r="AA7" s="128"/>
      <c r="AB7" s="128"/>
      <c r="AC7" s="128"/>
      <c r="AD7" s="128"/>
      <c r="AE7" s="128"/>
      <c r="AF7" s="128"/>
      <c r="AG7" s="128"/>
    </row>
    <row r="8" spans="1:61" s="124" customFormat="1" ht="14.55" hidden="1" customHeight="1" x14ac:dyDescent="0.3">
      <c r="B8" s="161"/>
      <c r="C8" s="163"/>
      <c r="D8" s="157"/>
      <c r="E8" s="157"/>
      <c r="F8" s="139"/>
      <c r="G8" s="157"/>
      <c r="H8" s="128"/>
      <c r="I8" s="128"/>
      <c r="J8" s="128"/>
      <c r="K8" s="128"/>
      <c r="L8" s="128"/>
      <c r="M8" s="128"/>
      <c r="N8" s="128"/>
      <c r="O8" s="164"/>
      <c r="P8" s="128"/>
      <c r="Q8" s="128"/>
      <c r="R8" s="128"/>
      <c r="S8" s="119"/>
      <c r="T8" s="159"/>
      <c r="U8" s="165"/>
      <c r="V8" s="165"/>
      <c r="W8" s="119"/>
      <c r="X8" s="165"/>
      <c r="Y8" s="165"/>
      <c r="Z8" s="130"/>
      <c r="AA8" s="126"/>
      <c r="AB8" s="130"/>
      <c r="AC8" s="119"/>
      <c r="AD8" s="119"/>
      <c r="AE8" s="119"/>
      <c r="AF8" s="130"/>
      <c r="AG8" s="119"/>
    </row>
    <row r="9" spans="1:61" s="124" customFormat="1" ht="14.55" hidden="1" customHeight="1" x14ac:dyDescent="0.3">
      <c r="B9" s="166"/>
      <c r="C9" s="167"/>
      <c r="D9" s="157"/>
      <c r="E9" s="157"/>
      <c r="F9" s="139"/>
      <c r="G9" s="157"/>
      <c r="H9" s="130"/>
      <c r="I9" s="130"/>
      <c r="J9" s="130"/>
      <c r="K9" s="130"/>
      <c r="L9" s="130"/>
      <c r="M9" s="130"/>
      <c r="N9" s="130"/>
      <c r="O9" s="130"/>
      <c r="P9" s="130"/>
      <c r="Q9" s="130"/>
      <c r="R9" s="130"/>
      <c r="S9" s="137"/>
      <c r="T9" s="119"/>
      <c r="U9" s="168"/>
      <c r="V9" s="169"/>
      <c r="W9" s="128"/>
      <c r="X9" s="170"/>
      <c r="Y9" s="128"/>
      <c r="Z9" s="128"/>
      <c r="AA9" s="128"/>
      <c r="AB9" s="130"/>
      <c r="AC9" s="130"/>
      <c r="AD9" s="130"/>
      <c r="AE9" s="130"/>
      <c r="AF9" s="130"/>
      <c r="AG9" s="130"/>
    </row>
    <row r="10" spans="1:61" ht="17.55" customHeight="1" x14ac:dyDescent="0.3">
      <c r="B10" s="113" t="s">
        <v>15</v>
      </c>
      <c r="D10" s="17"/>
      <c r="E10" s="17"/>
      <c r="F10" s="17"/>
      <c r="G10" s="17"/>
      <c r="H10" s="18"/>
      <c r="I10" s="17"/>
      <c r="J10" s="17"/>
      <c r="K10" s="17"/>
      <c r="L10" s="17"/>
      <c r="M10" s="17"/>
      <c r="N10" s="17"/>
      <c r="O10" s="17"/>
      <c r="P10" s="17"/>
      <c r="Q10" s="17"/>
      <c r="R10" s="17"/>
      <c r="S10" s="110"/>
      <c r="T10" s="110"/>
      <c r="U10" s="147"/>
      <c r="V10" s="153"/>
      <c r="W10" s="154"/>
      <c r="X10" s="147"/>
      <c r="Y10" s="110"/>
      <c r="Z10" s="110"/>
      <c r="AA10" s="111"/>
      <c r="AB10" s="13"/>
      <c r="AC10" s="110"/>
      <c r="AD10" s="110"/>
      <c r="AE10" s="110"/>
      <c r="AF10" s="111"/>
      <c r="AG10" s="13"/>
    </row>
    <row r="11" spans="1:61" ht="15.6" x14ac:dyDescent="0.3">
      <c r="A11" s="173"/>
      <c r="B11" s="171" t="s">
        <v>74</v>
      </c>
      <c r="C11" s="17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73"/>
      <c r="B12" s="178" t="s">
        <v>3</v>
      </c>
      <c r="C12" s="179"/>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119</v>
      </c>
      <c r="T12" s="27" t="s">
        <v>125</v>
      </c>
      <c r="U12" s="27" t="s">
        <v>126</v>
      </c>
      <c r="V12" s="27" t="s">
        <v>127</v>
      </c>
      <c r="W12" s="80" t="s">
        <v>128</v>
      </c>
      <c r="X12" s="27" t="s">
        <v>129</v>
      </c>
      <c r="Y12" s="25" t="s">
        <v>106</v>
      </c>
      <c r="Z12" s="25" t="s">
        <v>107</v>
      </c>
      <c r="AA12" s="25" t="s">
        <v>108</v>
      </c>
      <c r="AB12" s="82" t="s">
        <v>109</v>
      </c>
      <c r="AC12" s="25" t="s">
        <v>110</v>
      </c>
      <c r="AD12" s="25" t="s">
        <v>111</v>
      </c>
      <c r="AE12" s="25" t="s">
        <v>112</v>
      </c>
      <c r="AF12" s="25" t="s">
        <v>113</v>
      </c>
      <c r="AG12" s="82" t="s">
        <v>114</v>
      </c>
    </row>
    <row r="13" spans="1:61" x14ac:dyDescent="0.3">
      <c r="A13" s="124"/>
      <c r="B13" s="176" t="s">
        <v>19</v>
      </c>
      <c r="C13" s="177"/>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19">
        <v>15077</v>
      </c>
      <c r="T13" s="119">
        <v>16886</v>
      </c>
      <c r="U13" s="119">
        <v>17652</v>
      </c>
      <c r="V13" s="119">
        <f>70697-U13-T13-S13</f>
        <v>21082</v>
      </c>
      <c r="W13" s="114">
        <f>SUM(S13:V13)</f>
        <v>70697</v>
      </c>
      <c r="X13" s="119">
        <v>17737</v>
      </c>
      <c r="Y13" s="119">
        <f t="shared" ref="Y13:AA13" si="0">+Y40</f>
        <v>17401.458057977808</v>
      </c>
      <c r="Z13" s="119">
        <f t="shared" si="0"/>
        <v>17913.2695595</v>
      </c>
      <c r="AA13" s="119">
        <f t="shared" si="0"/>
        <v>21124.789661499999</v>
      </c>
      <c r="AB13" s="114">
        <f>SUM(X13:AA13)</f>
        <v>74176.517278977815</v>
      </c>
      <c r="AC13" s="119">
        <f t="shared" ref="AC13:AF13" si="1">+AC40</f>
        <v>18348.233029223851</v>
      </c>
      <c r="AD13" s="119">
        <f t="shared" si="1"/>
        <v>19139.039724313596</v>
      </c>
      <c r="AE13" s="119">
        <f t="shared" si="1"/>
        <v>20450.32777890057</v>
      </c>
      <c r="AF13" s="119">
        <f t="shared" si="1"/>
        <v>25012.987189029209</v>
      </c>
      <c r="AG13" s="114">
        <f>SUM(AC13:AF13)</f>
        <v>82950.587721467222</v>
      </c>
    </row>
    <row r="14" spans="1:61" ht="16.2" x14ac:dyDescent="0.45">
      <c r="A14" s="124"/>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21">
        <v>3307</v>
      </c>
      <c r="U14" s="121">
        <v>3155</v>
      </c>
      <c r="V14" s="121">
        <f>12770-U14-T14-S14</f>
        <v>3492</v>
      </c>
      <c r="W14" s="115">
        <f>SUM(S14:V14)</f>
        <v>12770</v>
      </c>
      <c r="X14" s="121">
        <v>3459</v>
      </c>
      <c r="Y14" s="121">
        <f>+Y13*(1-Y69)</f>
        <v>3497.6930696535387</v>
      </c>
      <c r="Z14" s="121">
        <f>+Z13*(1-Z69)</f>
        <v>3708.0467988164996</v>
      </c>
      <c r="AA14" s="121">
        <f>+AA13*(1-AA69)</f>
        <v>4499.5801978994987</v>
      </c>
      <c r="AB14" s="115">
        <f>SUM(X14:AA14)</f>
        <v>15164.320066369537</v>
      </c>
      <c r="AC14" s="34">
        <f>+AC13*(1-AC69)</f>
        <v>3853.1289361370082</v>
      </c>
      <c r="AD14" s="34">
        <f>+AD13*(1-AD69)</f>
        <v>3961.7812229329138</v>
      </c>
      <c r="AE14" s="34">
        <f>+AE13*(1-AE69)</f>
        <v>4171.8668668957152</v>
      </c>
      <c r="AF14" s="34">
        <f>+AF13*(1-AF69)</f>
        <v>5027.6104249948703</v>
      </c>
      <c r="AG14" s="115">
        <f>SUM(AC14:AF14)</f>
        <v>17014.387450960508</v>
      </c>
    </row>
    <row r="15" spans="1:61" s="21" customFormat="1" x14ac:dyDescent="0.3">
      <c r="A15" s="127"/>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20">
        <f t="shared" ref="T15" si="9">+T13-T14</f>
        <v>13579</v>
      </c>
      <c r="U15" s="40">
        <f t="shared" ref="U15" si="10">+U13-U14</f>
        <v>14497</v>
      </c>
      <c r="V15" s="40">
        <f t="shared" ref="V15" si="11">+V13-V14</f>
        <v>17590</v>
      </c>
      <c r="W15" s="41">
        <f>+W13-W14</f>
        <v>57927</v>
      </c>
      <c r="X15" s="40">
        <f>+X13-X14</f>
        <v>14278</v>
      </c>
      <c r="Y15" s="40">
        <f t="shared" ref="Y15" si="12">+Y13-Y14</f>
        <v>13903.76498832427</v>
      </c>
      <c r="Z15" s="40">
        <f t="shared" ref="Z15" si="13">+Z13-Z14</f>
        <v>14205.2227606835</v>
      </c>
      <c r="AA15" s="40">
        <f t="shared" ref="AA15" si="14">+AA13-AA14</f>
        <v>16625.209463600499</v>
      </c>
      <c r="AB15" s="116">
        <f>+AB13-AB14</f>
        <v>59012.197212608276</v>
      </c>
      <c r="AC15" s="40">
        <f>+AC13-AC14</f>
        <v>14495.104093086844</v>
      </c>
      <c r="AD15" s="40">
        <f t="shared" ref="AD15" si="15">+AD13-AD14</f>
        <v>15177.258501380682</v>
      </c>
      <c r="AE15" s="40">
        <f t="shared" ref="AE15" si="16">+AE13-AE14</f>
        <v>16278.460912004855</v>
      </c>
      <c r="AF15" s="40">
        <f t="shared" ref="AF15" si="17">+AF13-AF14</f>
        <v>19985.376764034339</v>
      </c>
      <c r="AG15" s="116">
        <f>+AG13-AG14</f>
        <v>65936.200270506713</v>
      </c>
    </row>
    <row r="16" spans="1:61" x14ac:dyDescent="0.3">
      <c r="A16" s="124"/>
      <c r="B16" s="31" t="s">
        <v>21</v>
      </c>
      <c r="C16" s="71"/>
      <c r="D16" s="14"/>
      <c r="E16" s="14"/>
      <c r="F16" s="14"/>
      <c r="G16" s="14"/>
      <c r="H16" s="30"/>
      <c r="I16" s="14"/>
      <c r="J16" s="14"/>
      <c r="K16" s="14"/>
      <c r="L16" s="14"/>
      <c r="M16" s="30"/>
      <c r="N16" s="14"/>
      <c r="O16" s="14"/>
      <c r="P16" s="14"/>
      <c r="Q16" s="14"/>
      <c r="R16" s="30"/>
      <c r="S16" s="14"/>
      <c r="T16" s="140"/>
      <c r="U16" s="14"/>
      <c r="V16" s="14"/>
      <c r="W16" s="30"/>
      <c r="X16" s="14"/>
      <c r="Y16" s="14"/>
      <c r="Z16" s="14"/>
      <c r="AA16" s="14"/>
      <c r="AB16" s="114"/>
      <c r="AC16" s="14"/>
      <c r="AD16" s="14"/>
      <c r="AE16" s="14"/>
      <c r="AF16" s="14"/>
      <c r="AG16" s="114"/>
    </row>
    <row r="17" spans="1:33" x14ac:dyDescent="0.3">
      <c r="A17" s="124"/>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19">
        <v>3315</v>
      </c>
      <c r="U17" s="29">
        <v>3548</v>
      </c>
      <c r="V17" s="29">
        <f>13600-U17-T17-S17</f>
        <v>3877</v>
      </c>
      <c r="W17" s="30">
        <f t="shared" ref="W17:W19" si="21">SUM(S17:V17)</f>
        <v>13600</v>
      </c>
      <c r="X17" s="29">
        <v>4015</v>
      </c>
      <c r="Y17" s="29">
        <f>+Y13*Y70</f>
        <v>3967.5324372189407</v>
      </c>
      <c r="Z17" s="29">
        <f>+Z13*Z70</f>
        <v>4048.3989204470004</v>
      </c>
      <c r="AA17" s="29">
        <f>+AA13*AA70</f>
        <v>4731.9528841760002</v>
      </c>
      <c r="AB17" s="114">
        <f t="shared" ref="AB17:AB19" si="22">SUM(X17:AA17)</f>
        <v>16762.884241841941</v>
      </c>
      <c r="AC17" s="29">
        <f>+AC13*AC70</f>
        <v>4073.3077324876949</v>
      </c>
      <c r="AD17" s="29">
        <f>+AD13*AD70</f>
        <v>4210.5887393489911</v>
      </c>
      <c r="AE17" s="29">
        <f>+AE13*AE70</f>
        <v>4499.0721113581258</v>
      </c>
      <c r="AF17" s="29">
        <f>+AF13*AF70</f>
        <v>5502.8571815864261</v>
      </c>
      <c r="AG17" s="114">
        <f t="shared" ref="AG17:AG19" si="23">SUM(AC17:AF17)</f>
        <v>18285.825764781239</v>
      </c>
    </row>
    <row r="18" spans="1:33" x14ac:dyDescent="0.3">
      <c r="A18" s="124"/>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19">
        <v>2414</v>
      </c>
      <c r="U18" s="29">
        <v>2416</v>
      </c>
      <c r="V18" s="29">
        <f>9876-U18-T18-S18</f>
        <v>3026</v>
      </c>
      <c r="W18" s="30">
        <f t="shared" si="21"/>
        <v>9876</v>
      </c>
      <c r="X18" s="29">
        <v>2787</v>
      </c>
      <c r="Y18" s="29">
        <f>+Y13*Y71</f>
        <v>2958.2478698562277</v>
      </c>
      <c r="Z18" s="29">
        <f>+Z13*Z71</f>
        <v>3224.3885207099997</v>
      </c>
      <c r="AA18" s="29">
        <f>+AA13*AA71</f>
        <v>4013.7100356850001</v>
      </c>
      <c r="AB18" s="114">
        <f t="shared" si="22"/>
        <v>12983.346426251228</v>
      </c>
      <c r="AC18" s="29">
        <f>+AC13*AC71</f>
        <v>3669.6466058447704</v>
      </c>
      <c r="AD18" s="29">
        <f>+AD13*AD71</f>
        <v>3827.8079448627195</v>
      </c>
      <c r="AE18" s="29">
        <f>+AE13*AE71</f>
        <v>4090.0655557801142</v>
      </c>
      <c r="AF18" s="29">
        <f>+AF13*AF71</f>
        <v>5002.5974378058418</v>
      </c>
      <c r="AG18" s="114">
        <f t="shared" si="23"/>
        <v>16590.117544293447</v>
      </c>
    </row>
    <row r="19" spans="1:33" ht="17.25" customHeight="1" x14ac:dyDescent="0.45">
      <c r="A19" s="124"/>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21">
        <v>4064</v>
      </c>
      <c r="T19" s="121">
        <v>3224</v>
      </c>
      <c r="U19" s="34">
        <v>1348</v>
      </c>
      <c r="V19" s="34">
        <f>10465-U19-T19-S19</f>
        <v>1829</v>
      </c>
      <c r="W19" s="35">
        <f t="shared" si="21"/>
        <v>10465</v>
      </c>
      <c r="X19" s="34">
        <v>1583</v>
      </c>
      <c r="Y19" s="34">
        <f>Y13*Y72</f>
        <v>1566.1312252180028</v>
      </c>
      <c r="Z19" s="34">
        <f>Z13*Z72</f>
        <v>1701.7606081525</v>
      </c>
      <c r="AA19" s="34">
        <f>AA13*AA72</f>
        <v>2112.4789661499999</v>
      </c>
      <c r="AB19" s="115">
        <f t="shared" si="22"/>
        <v>6963.3707995205023</v>
      </c>
      <c r="AC19" s="34">
        <f>AC13*AC72</f>
        <v>1834.8233029223852</v>
      </c>
      <c r="AD19" s="34">
        <f>AD13*AD72</f>
        <v>1913.9039724313598</v>
      </c>
      <c r="AE19" s="34">
        <f>AE13*AE72</f>
        <v>2045.0327778900571</v>
      </c>
      <c r="AF19" s="34">
        <f>AF13*AF72</f>
        <v>2501.2987189029209</v>
      </c>
      <c r="AG19" s="115">
        <f t="shared" si="23"/>
        <v>8295.0587721467236</v>
      </c>
    </row>
    <row r="20" spans="1:33" s="39" customFormat="1" ht="17.25" customHeight="1" x14ac:dyDescent="0.45">
      <c r="A20" s="149"/>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41">
        <f t="shared" si="24"/>
        <v>8953</v>
      </c>
      <c r="U20" s="37">
        <f t="shared" si="24"/>
        <v>7312</v>
      </c>
      <c r="V20" s="37">
        <f t="shared" si="24"/>
        <v>8732</v>
      </c>
      <c r="W20" s="38">
        <f t="shared" si="24"/>
        <v>33941</v>
      </c>
      <c r="X20" s="37">
        <f t="shared" si="24"/>
        <v>8385</v>
      </c>
      <c r="Y20" s="37">
        <f t="shared" si="24"/>
        <v>8491.9115322931721</v>
      </c>
      <c r="Z20" s="37">
        <f t="shared" si="24"/>
        <v>8974.5480493095001</v>
      </c>
      <c r="AA20" s="37">
        <f t="shared" si="24"/>
        <v>10858.141886011001</v>
      </c>
      <c r="AB20" s="117">
        <f t="shared" si="24"/>
        <v>36709.601467613669</v>
      </c>
      <c r="AC20" s="37">
        <f t="shared" si="24"/>
        <v>9577.7776412548501</v>
      </c>
      <c r="AD20" s="37">
        <f t="shared" si="24"/>
        <v>9952.3006566430704</v>
      </c>
      <c r="AE20" s="37">
        <f t="shared" si="24"/>
        <v>10634.170445028298</v>
      </c>
      <c r="AF20" s="37">
        <f t="shared" si="24"/>
        <v>13006.75333829519</v>
      </c>
      <c r="AG20" s="117">
        <f t="shared" si="24"/>
        <v>43171.002081221413</v>
      </c>
    </row>
    <row r="21" spans="1:33" x14ac:dyDescent="0.3">
      <c r="A21" s="124"/>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20">
        <f>S15-S20</f>
        <v>3317</v>
      </c>
      <c r="T21" s="120">
        <f t="shared" ref="T21" si="30">T15-T20</f>
        <v>4626</v>
      </c>
      <c r="U21" s="120">
        <f t="shared" ref="U21" si="31">U15-U20</f>
        <v>7185</v>
      </c>
      <c r="V21" s="120">
        <f>V15-V20</f>
        <v>8858</v>
      </c>
      <c r="W21" s="41">
        <f>W15-W20</f>
        <v>23986</v>
      </c>
      <c r="X21" s="40">
        <f>X15-X20</f>
        <v>5893</v>
      </c>
      <c r="Y21" s="40">
        <f t="shared" ref="Y21" si="32">Y15-Y20</f>
        <v>5411.8534560310982</v>
      </c>
      <c r="Z21" s="40">
        <f t="shared" ref="Z21" si="33">Z15-Z20</f>
        <v>5230.6747113740003</v>
      </c>
      <c r="AA21" s="40">
        <f>AA15-AA20</f>
        <v>5767.0675775894979</v>
      </c>
      <c r="AB21" s="116">
        <f>AB15-AB20</f>
        <v>22302.595744994607</v>
      </c>
      <c r="AC21" s="40">
        <f>AC15-AC20</f>
        <v>4917.3264518319938</v>
      </c>
      <c r="AD21" s="40">
        <f t="shared" ref="AD21" si="34">AD15-AD20</f>
        <v>5224.9578447376116</v>
      </c>
      <c r="AE21" s="40">
        <f t="shared" ref="AE21" si="35">AE15-AE20</f>
        <v>5644.2904669765576</v>
      </c>
      <c r="AF21" s="40">
        <f>AF15-AF20</f>
        <v>6978.6234257391498</v>
      </c>
      <c r="AG21" s="116">
        <f>AG15-AG20</f>
        <v>22765.1981892853</v>
      </c>
    </row>
    <row r="22" spans="1:33" ht="16.2" x14ac:dyDescent="0.45">
      <c r="A22" s="124"/>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21">
        <v>165</v>
      </c>
      <c r="T22" s="121">
        <v>206</v>
      </c>
      <c r="U22" s="121">
        <v>144</v>
      </c>
      <c r="V22" s="121">
        <f>826-U22-T22-S22</f>
        <v>311</v>
      </c>
      <c r="W22" s="35">
        <f t="shared" ref="W22" si="39">SUM(S22:V22)</f>
        <v>826</v>
      </c>
      <c r="X22" s="121">
        <v>-32</v>
      </c>
      <c r="Y22" s="57">
        <f>AVERAGE(X22,V22,U22,T22)</f>
        <v>157.25</v>
      </c>
      <c r="Z22" s="57">
        <f>AVERAGE(Y22,X22,V22,U22)</f>
        <v>145.0625</v>
      </c>
      <c r="AA22" s="57">
        <f>AVERAGE(Z22,Y22,X22,V22)</f>
        <v>145.328125</v>
      </c>
      <c r="AB22" s="115">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15">
        <f t="shared" ref="AG22" si="41">SUM(AC22:AF22)</f>
        <v>504.88824462890625</v>
      </c>
    </row>
    <row r="23" spans="1:33" x14ac:dyDescent="0.3">
      <c r="A23" s="124"/>
      <c r="B23" s="184" t="s">
        <v>23</v>
      </c>
      <c r="C23" s="185"/>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20">
        <f t="shared" si="42"/>
        <v>3482</v>
      </c>
      <c r="T23" s="120">
        <f t="shared" si="42"/>
        <v>4832</v>
      </c>
      <c r="U23" s="40">
        <f t="shared" si="42"/>
        <v>7329</v>
      </c>
      <c r="V23" s="40">
        <f>V21+V22</f>
        <v>9169</v>
      </c>
      <c r="W23" s="41">
        <f t="shared" si="42"/>
        <v>24812</v>
      </c>
      <c r="X23" s="120">
        <f t="shared" si="42"/>
        <v>5861</v>
      </c>
      <c r="Y23" s="40">
        <f t="shared" si="42"/>
        <v>5569.1034560310982</v>
      </c>
      <c r="Z23" s="40">
        <f t="shared" si="42"/>
        <v>5375.7372113740003</v>
      </c>
      <c r="AA23" s="40">
        <f t="shared" si="42"/>
        <v>5912.3957025894979</v>
      </c>
      <c r="AB23" s="116">
        <f t="shared" si="42"/>
        <v>22718.236369994607</v>
      </c>
      <c r="AC23" s="40">
        <f t="shared" si="42"/>
        <v>5021.2366080819938</v>
      </c>
      <c r="AD23" s="40">
        <f t="shared" si="42"/>
        <v>5362.8455400501116</v>
      </c>
      <c r="AE23" s="40">
        <f t="shared" si="42"/>
        <v>5777.3375861171826</v>
      </c>
      <c r="AF23" s="40">
        <f t="shared" si="42"/>
        <v>7108.666699664931</v>
      </c>
      <c r="AG23" s="116">
        <f t="shared" si="42"/>
        <v>23270.086433914206</v>
      </c>
    </row>
    <row r="24" spans="1:33" ht="16.2" x14ac:dyDescent="0.45">
      <c r="A24" s="124"/>
      <c r="B24" s="176" t="s">
        <v>7</v>
      </c>
      <c r="C24" s="177"/>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21">
        <v>-1053</v>
      </c>
      <c r="T24" s="121">
        <v>-2216</v>
      </c>
      <c r="U24" s="34">
        <v>-1238</v>
      </c>
      <c r="V24" s="34">
        <f>-6327-U24-T24-S24</f>
        <v>-1820</v>
      </c>
      <c r="W24" s="35">
        <f>SUM(S24:V24)</f>
        <v>-6327</v>
      </c>
      <c r="X24" s="121">
        <v>-959</v>
      </c>
      <c r="Y24" s="34">
        <f>+Y23*-Y76</f>
        <v>-1002.4386220855977</v>
      </c>
      <c r="Z24" s="34">
        <f>+Z23*-Z76</f>
        <v>-967.63269804731999</v>
      </c>
      <c r="AA24" s="34">
        <f>+AA23*-AA76</f>
        <v>-1064.2312264661095</v>
      </c>
      <c r="AB24" s="115">
        <f>SUM(X24:AA24)</f>
        <v>-3993.3025465990272</v>
      </c>
      <c r="AC24" s="34">
        <f>+AC23*-AC76</f>
        <v>-883.26559023774337</v>
      </c>
      <c r="AD24" s="34">
        <f>+AD23*-AD76</f>
        <v>-973.05784987027027</v>
      </c>
      <c r="AE24" s="34">
        <f>+AE23*-AE76</f>
        <v>-1050.3511540687523</v>
      </c>
      <c r="AF24" s="34">
        <f>+AF23*-AF76</f>
        <v>-1295.6024638128558</v>
      </c>
      <c r="AG24" s="115">
        <f>SUM(AC24:AF24)</f>
        <v>-4202.2770579896214</v>
      </c>
    </row>
    <row r="25" spans="1:33" x14ac:dyDescent="0.3">
      <c r="A25" s="131"/>
      <c r="B25" s="184" t="s">
        <v>8</v>
      </c>
      <c r="C25" s="185"/>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20">
        <f t="shared" si="43"/>
        <v>2429</v>
      </c>
      <c r="T25" s="120">
        <f t="shared" si="43"/>
        <v>2616</v>
      </c>
      <c r="U25" s="40">
        <f t="shared" si="43"/>
        <v>6091</v>
      </c>
      <c r="V25" s="40">
        <f t="shared" si="43"/>
        <v>7349</v>
      </c>
      <c r="W25" s="41">
        <f t="shared" si="43"/>
        <v>18485</v>
      </c>
      <c r="X25" s="120">
        <f t="shared" si="43"/>
        <v>4902</v>
      </c>
      <c r="Y25" s="40">
        <f t="shared" si="43"/>
        <v>4566.6648339455005</v>
      </c>
      <c r="Z25" s="40">
        <f t="shared" si="43"/>
        <v>4408.1045133266798</v>
      </c>
      <c r="AA25" s="40">
        <f t="shared" si="43"/>
        <v>4848.1644761233883</v>
      </c>
      <c r="AB25" s="116">
        <f t="shared" si="43"/>
        <v>18724.933823395579</v>
      </c>
      <c r="AC25" s="40">
        <f t="shared" si="43"/>
        <v>4137.9710178442501</v>
      </c>
      <c r="AD25" s="40">
        <f t="shared" si="43"/>
        <v>4389.7876901798409</v>
      </c>
      <c r="AE25" s="40">
        <f t="shared" si="43"/>
        <v>4726.9864320484303</v>
      </c>
      <c r="AF25" s="40">
        <f t="shared" si="43"/>
        <v>5813.0642358520754</v>
      </c>
      <c r="AG25" s="116">
        <f t="shared" si="43"/>
        <v>19067.809375924586</v>
      </c>
    </row>
    <row r="26" spans="1:33" ht="16.2" x14ac:dyDescent="0.45">
      <c r="A26" s="131"/>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21">
        <v>0</v>
      </c>
      <c r="T26" s="121">
        <v>0</v>
      </c>
      <c r="U26" s="121">
        <v>0</v>
      </c>
      <c r="V26" s="121">
        <f>0-U26-T26-S26</f>
        <v>0</v>
      </c>
      <c r="W26" s="35">
        <f>SUM(S26:V26)</f>
        <v>0</v>
      </c>
      <c r="X26" s="121">
        <v>0</v>
      </c>
      <c r="Y26" s="121">
        <v>0</v>
      </c>
      <c r="Z26" s="121">
        <v>0</v>
      </c>
      <c r="AA26" s="121">
        <v>0</v>
      </c>
      <c r="AB26" s="115">
        <f>SUM(X26:AA26)</f>
        <v>0</v>
      </c>
      <c r="AC26" s="121">
        <v>0</v>
      </c>
      <c r="AD26" s="121">
        <v>0</v>
      </c>
      <c r="AE26" s="121">
        <v>0</v>
      </c>
      <c r="AF26" s="121">
        <v>0</v>
      </c>
      <c r="AG26" s="115">
        <f>SUM(AC26:AF26)</f>
        <v>0</v>
      </c>
    </row>
    <row r="27" spans="1:33" s="21" customFormat="1" x14ac:dyDescent="0.3">
      <c r="A27" s="149"/>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20">
        <f t="shared" ref="S27" si="51">+S25-S26</f>
        <v>2429</v>
      </c>
      <c r="T27" s="120">
        <f t="shared" ref="T27" si="52">+T25-T26</f>
        <v>2616</v>
      </c>
      <c r="U27" s="40">
        <f t="shared" ref="U27" si="53">+U25-U26</f>
        <v>6091</v>
      </c>
      <c r="V27" s="40">
        <f t="shared" ref="V27" si="54">+V25-V26</f>
        <v>7349</v>
      </c>
      <c r="W27" s="41">
        <f t="shared" ref="W27" si="55">+W25-W26</f>
        <v>18485</v>
      </c>
      <c r="X27" s="40">
        <f t="shared" ref="X27" si="56">+X25-X26</f>
        <v>4902</v>
      </c>
      <c r="Y27" s="40">
        <f t="shared" ref="Y27" si="57">+Y25-Y26</f>
        <v>4566.6648339455005</v>
      </c>
      <c r="Z27" s="40">
        <f t="shared" ref="Z27" si="58">+Z25-Z26</f>
        <v>4408.1045133266798</v>
      </c>
      <c r="AA27" s="40">
        <f t="shared" ref="AA27" si="59">+AA25-AA26</f>
        <v>4848.1644761233883</v>
      </c>
      <c r="AB27" s="116">
        <f t="shared" ref="AB27" si="60">+AB25-AB26</f>
        <v>18724.933823395579</v>
      </c>
      <c r="AC27" s="40">
        <f t="shared" ref="AC27" si="61">+AC25-AC26</f>
        <v>4137.9710178442501</v>
      </c>
      <c r="AD27" s="40">
        <f t="shared" ref="AD27" si="62">+AD25-AD26</f>
        <v>4389.7876901798409</v>
      </c>
      <c r="AE27" s="40">
        <f t="shared" ref="AE27" si="63">+AE25-AE26</f>
        <v>4726.9864320484303</v>
      </c>
      <c r="AF27" s="40">
        <f t="shared" ref="AF27" si="64">+AF25-AF26</f>
        <v>5813.0642358520754</v>
      </c>
      <c r="AG27" s="116">
        <f t="shared" ref="AG27" si="65">+AG25-AG26</f>
        <v>19067.809375924586</v>
      </c>
    </row>
    <row r="28" spans="1:33" x14ac:dyDescent="0.3">
      <c r="A28" s="124"/>
      <c r="B28" s="176" t="s">
        <v>0</v>
      </c>
      <c r="C28" s="177"/>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19">
        <v>2856</v>
      </c>
      <c r="T28" s="119">
        <v>2855</v>
      </c>
      <c r="U28" s="29">
        <v>2854</v>
      </c>
      <c r="V28" s="29">
        <v>2854</v>
      </c>
      <c r="W28" s="30">
        <f>(S28*S25/W25)+(T28*T25/W25)+(U28*U25/W25)+(V28*V25/W25)</f>
        <v>2854.4043278333784</v>
      </c>
      <c r="X28" s="29">
        <v>2851</v>
      </c>
      <c r="Y28" s="29">
        <f>X28*(1+Y78)-Y82</f>
        <v>2851.0330692356883</v>
      </c>
      <c r="Z28" s="29">
        <f>Y28*(1+Z78)-Z82</f>
        <v>2850.9589626808297</v>
      </c>
      <c r="AA28" s="29">
        <f>Z28*(1+AA78)-AA82</f>
        <v>2850.801547854137</v>
      </c>
      <c r="AB28" s="114">
        <f>(X28*X25/AB25)+(Y28*Y25/AB25)+(Z28*Z25/AB25)+(AA28*AA25/AB25)</f>
        <v>2850.9470220119701</v>
      </c>
      <c r="AC28" s="29">
        <f>AA28*(1+AC78)-AC82</f>
        <v>2850.2824429174052</v>
      </c>
      <c r="AD28" s="29">
        <f>AC28*(1+AD78)-AD82</f>
        <v>2850.1018973161258</v>
      </c>
      <c r="AE28" s="29">
        <f>AD28*(1+AE78)-AE82</f>
        <v>2849.8679559935558</v>
      </c>
      <c r="AF28" s="29">
        <f>AE28*(1+AF78)-AF82</f>
        <v>2849.5940677266613</v>
      </c>
      <c r="AG28" s="114">
        <f>(AC28*AC25/AG25)+(AD28*AD25/AG25)+(AE28*AE25/AG25)+(AF28*AF25/AG25)</f>
        <v>2849.9282648368353</v>
      </c>
    </row>
    <row r="29" spans="1:33" ht="15.75" customHeight="1" x14ac:dyDescent="0.3">
      <c r="A29" s="124"/>
      <c r="B29" s="176" t="s">
        <v>1</v>
      </c>
      <c r="C29" s="177"/>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19">
        <v>2869</v>
      </c>
      <c r="T29" s="119">
        <v>2875</v>
      </c>
      <c r="U29" s="29">
        <v>2874</v>
      </c>
      <c r="V29" s="29">
        <v>2880</v>
      </c>
      <c r="W29" s="30">
        <f>(S29*S25/W25)+(T29*T25/W25)+(U29*U25/W25)+(V29*V25/W25)</f>
        <v>2875.8698945090614</v>
      </c>
      <c r="X29" s="29">
        <v>2868</v>
      </c>
      <c r="Y29" s="29">
        <f>X29*(1+Y79)-Y82</f>
        <v>2869.034891830675</v>
      </c>
      <c r="Z29" s="29">
        <f>Y29*(1+Z79)-Z82</f>
        <v>2868.4634413286763</v>
      </c>
      <c r="AA29" s="29">
        <f>Z29*(1+AA79)-AA82</f>
        <v>2867.684467294363</v>
      </c>
      <c r="AB29" s="114">
        <f>(X29*X25/AB25)+(Y29*Y25/AB25)+(Z29*Z25/AB25)+(AA29*AA25/AB25)</f>
        <v>2868.279795247211</v>
      </c>
      <c r="AC29" s="29">
        <f>AA29*(1+AC79)-AC82</f>
        <v>2864.8923711880416</v>
      </c>
      <c r="AD29" s="29">
        <f>AC29*(1+AD79)-AD82</f>
        <v>2864.1102517874319</v>
      </c>
      <c r="AE29" s="29">
        <f>AD29*(1+AE79)-AE82</f>
        <v>2862.8744571919492</v>
      </c>
      <c r="AF29" s="29">
        <f>AE29*(1+AF79)-AF82</f>
        <v>2861.4729104488783</v>
      </c>
      <c r="AG29" s="114">
        <f>(AC29*AC25/AG25)+(AD29*AD25/AG25)+(AE29*AE25/AG25)+(AF29*AF25/AG25)</f>
        <v>2863.1695967214691</v>
      </c>
    </row>
    <row r="30" spans="1:33" ht="15.75" customHeight="1" x14ac:dyDescent="0.3">
      <c r="A30" s="124"/>
      <c r="B30" s="188" t="s">
        <v>9</v>
      </c>
      <c r="C30" s="189"/>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22">
        <f t="shared" si="66"/>
        <v>0.85049019607843135</v>
      </c>
      <c r="T30" s="122">
        <f t="shared" si="66"/>
        <v>0.91628721541155866</v>
      </c>
      <c r="U30" s="43">
        <f t="shared" si="66"/>
        <v>2.1341976173791171</v>
      </c>
      <c r="V30" s="43">
        <f t="shared" si="66"/>
        <v>2.5749824807288015</v>
      </c>
      <c r="W30" s="44">
        <f t="shared" si="66"/>
        <v>6.4759571094228789</v>
      </c>
      <c r="X30" s="43">
        <f t="shared" si="66"/>
        <v>1.7193967029112591</v>
      </c>
      <c r="Y30" s="43">
        <f t="shared" si="66"/>
        <v>1.6017579323167033</v>
      </c>
      <c r="Z30" s="43">
        <f t="shared" si="66"/>
        <v>1.5461830812119535</v>
      </c>
      <c r="AA30" s="43">
        <f t="shared" si="66"/>
        <v>1.7006320484751778</v>
      </c>
      <c r="AB30" s="118">
        <f t="shared" si="66"/>
        <v>6.5679697584071626</v>
      </c>
      <c r="AC30" s="43">
        <f t="shared" si="66"/>
        <v>1.4517757803710258</v>
      </c>
      <c r="AD30" s="43">
        <f t="shared" si="66"/>
        <v>1.5402213143023415</v>
      </c>
      <c r="AE30" s="43">
        <f t="shared" si="66"/>
        <v>1.6586685786992719</v>
      </c>
      <c r="AF30" s="43">
        <f t="shared" si="66"/>
        <v>2.0399622183694399</v>
      </c>
      <c r="AG30" s="118">
        <f t="shared" si="66"/>
        <v>6.6906278348084172</v>
      </c>
    </row>
    <row r="31" spans="1:33" x14ac:dyDescent="0.3">
      <c r="A31" s="124"/>
      <c r="B31" s="186" t="s">
        <v>10</v>
      </c>
      <c r="C31" s="187"/>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23">
        <f t="shared" si="67"/>
        <v>0.84663645869640991</v>
      </c>
      <c r="T31" s="123">
        <f t="shared" si="67"/>
        <v>0.90991304347826085</v>
      </c>
      <c r="U31" s="123">
        <f t="shared" si="67"/>
        <v>2.1193458594293668</v>
      </c>
      <c r="V31" s="123">
        <f t="shared" si="67"/>
        <v>2.551736111111111</v>
      </c>
      <c r="W31" s="144">
        <f t="shared" si="67"/>
        <v>6.4276203994115555</v>
      </c>
      <c r="X31" s="123">
        <f t="shared" si="67"/>
        <v>1.7092050209205021</v>
      </c>
      <c r="Y31" s="123">
        <f t="shared" si="67"/>
        <v>1.5917076669052292</v>
      </c>
      <c r="Z31" s="123">
        <f t="shared" si="67"/>
        <v>1.5367476711799539</v>
      </c>
      <c r="AA31" s="123">
        <f t="shared" si="67"/>
        <v>1.6906199170153444</v>
      </c>
      <c r="AB31" s="144">
        <f t="shared" si="67"/>
        <v>6.5282800703136132</v>
      </c>
      <c r="AC31" s="123">
        <f t="shared" si="67"/>
        <v>1.4443722422033871</v>
      </c>
      <c r="AD31" s="123">
        <f t="shared" si="67"/>
        <v>1.5326880965703975</v>
      </c>
      <c r="AE31" s="123">
        <f t="shared" si="67"/>
        <v>1.6511329793639975</v>
      </c>
      <c r="AF31" s="123">
        <f t="shared" si="67"/>
        <v>2.0314937159199533</v>
      </c>
      <c r="AG31" s="144">
        <f t="shared" si="67"/>
        <v>6.6596856147671346</v>
      </c>
    </row>
    <row r="32" spans="1:33" x14ac:dyDescent="0.3">
      <c r="B32" s="46"/>
      <c r="C32" s="113" t="s">
        <v>15</v>
      </c>
      <c r="D32" s="50"/>
      <c r="E32" s="50"/>
      <c r="F32" s="50"/>
      <c r="G32" s="50"/>
      <c r="H32" s="16"/>
      <c r="I32" s="50"/>
      <c r="J32" s="50"/>
      <c r="K32" s="50"/>
      <c r="L32" s="50"/>
      <c r="M32" s="16"/>
      <c r="N32" s="50"/>
      <c r="O32" s="50"/>
      <c r="P32" s="50"/>
      <c r="Q32" s="50"/>
      <c r="R32" s="16"/>
      <c r="S32" s="83"/>
      <c r="T32" s="142"/>
      <c r="U32" s="136"/>
      <c r="V32" s="136"/>
      <c r="W32" s="136"/>
      <c r="X32" s="136"/>
      <c r="Y32" s="136"/>
      <c r="Z32" s="50"/>
      <c r="AA32" s="136"/>
      <c r="AB32" s="16"/>
      <c r="AC32" s="50"/>
      <c r="AD32" s="50"/>
      <c r="AE32" s="50"/>
      <c r="AF32" s="136"/>
      <c r="AG32" s="16"/>
    </row>
    <row r="33" spans="1:33" ht="15.6" x14ac:dyDescent="0.3">
      <c r="A33" s="124"/>
      <c r="B33" s="171" t="s">
        <v>25</v>
      </c>
      <c r="C33" s="17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24"/>
      <c r="B34" s="178"/>
      <c r="C34" s="179"/>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119</v>
      </c>
      <c r="T34" s="27" t="s">
        <v>125</v>
      </c>
      <c r="U34" s="27" t="s">
        <v>126</v>
      </c>
      <c r="V34" s="27" t="s">
        <v>127</v>
      </c>
      <c r="W34" s="80" t="s">
        <v>128</v>
      </c>
      <c r="X34" s="27" t="s">
        <v>129</v>
      </c>
      <c r="Y34" s="25" t="s">
        <v>106</v>
      </c>
      <c r="Z34" s="25" t="s">
        <v>107</v>
      </c>
      <c r="AA34" s="25" t="s">
        <v>108</v>
      </c>
      <c r="AB34" s="82" t="s">
        <v>109</v>
      </c>
      <c r="AC34" s="25" t="s">
        <v>110</v>
      </c>
      <c r="AD34" s="25" t="s">
        <v>111</v>
      </c>
      <c r="AE34" s="25" t="s">
        <v>112</v>
      </c>
      <c r="AF34" s="25" t="s">
        <v>113</v>
      </c>
      <c r="AG34" s="82" t="s">
        <v>114</v>
      </c>
    </row>
    <row r="35" spans="1:33" ht="15.6" x14ac:dyDescent="0.3">
      <c r="A35" s="124"/>
      <c r="B35" s="171" t="s">
        <v>124</v>
      </c>
      <c r="C35" s="17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24"/>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8313.1987577363107</v>
      </c>
      <c r="Z36" s="64">
        <f>+((Z42+Y42)/2)*Z52</f>
        <v>8598.055992499998</v>
      </c>
      <c r="AA36" s="64">
        <f>+((AA42+Z42)/2)*AA52</f>
        <v>10272.133542499998</v>
      </c>
      <c r="AB36" s="19"/>
      <c r="AC36" s="64">
        <f>+((AC42+AA42)/2)*AC52</f>
        <v>8851.9261459999998</v>
      </c>
      <c r="AD36" s="64">
        <f>+((AD42+AC42)/2)*AD52</f>
        <v>9121.59188254334</v>
      </c>
      <c r="AE36" s="64">
        <f>+((AE42+AD42)/2)*AE52</f>
        <v>9788.371561182501</v>
      </c>
      <c r="AF36" s="64">
        <f>+((AF42+AE42)/2)*AF52</f>
        <v>12107.878166471246</v>
      </c>
      <c r="AG36" s="19"/>
    </row>
    <row r="37" spans="1:33" outlineLevel="1" x14ac:dyDescent="0.3">
      <c r="A37" s="124"/>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4224.7719500000003</v>
      </c>
      <c r="Z37" s="64">
        <f t="shared" ref="Z37:AA37" si="68">+((Z44+Y44)/2)*Z54</f>
        <v>4170.9698699999999</v>
      </c>
      <c r="AA37" s="64">
        <f t="shared" si="68"/>
        <v>5157.4303665000007</v>
      </c>
      <c r="AB37" s="19"/>
      <c r="AC37" s="64">
        <f>+((AC44+AA44)/2)*AC54</f>
        <v>4385.2978120000007</v>
      </c>
      <c r="AD37" s="64">
        <f>+((AD44+AC44)/2)*AD54</f>
        <v>4627.4127342501051</v>
      </c>
      <c r="AE37" s="64">
        <f t="shared" ref="AE37:AF37" si="69">+((AE44+AD44)/2)*AE54</f>
        <v>4740.9312687327028</v>
      </c>
      <c r="AF37" s="64">
        <f t="shared" si="69"/>
        <v>6089.7549590158496</v>
      </c>
      <c r="AG37" s="19"/>
    </row>
    <row r="38" spans="1:33" outlineLevel="1" x14ac:dyDescent="0.3">
      <c r="A38" s="124"/>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3179.1915542414986</v>
      </c>
      <c r="Z38" s="64">
        <f t="shared" ref="Z38:AA38" si="70">+((Z46+Y46)/2)*Z56</f>
        <v>3363.8536169999998</v>
      </c>
      <c r="AA38" s="64">
        <f t="shared" si="70"/>
        <v>3707.1662901</v>
      </c>
      <c r="AB38" s="19"/>
      <c r="AC38" s="64">
        <f>+((AC46+AA46)/2)*AC56</f>
        <v>3411.6768093238534</v>
      </c>
      <c r="AD38" s="64">
        <f>+((AD46+AC46)/2)*AD56</f>
        <v>3549.686804591352</v>
      </c>
      <c r="AE38" s="64">
        <f t="shared" ref="AE38:AF38" si="71">+((AE46+AD46)/2)*AE56</f>
        <v>3894.8308574973653</v>
      </c>
      <c r="AF38" s="64">
        <f t="shared" si="71"/>
        <v>4464.424741934431</v>
      </c>
      <c r="AG38" s="19"/>
    </row>
    <row r="39" spans="1:33" ht="16.2" outlineLevel="1" x14ac:dyDescent="0.45">
      <c r="A39" s="124"/>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1684.2957959999999</v>
      </c>
      <c r="Z39" s="99">
        <f t="shared" ref="Z39:AA39" si="72">+((Z48+Y48)/2)*Z58</f>
        <v>1780.3900800000006</v>
      </c>
      <c r="AA39" s="99">
        <f t="shared" si="72"/>
        <v>1988.0594624</v>
      </c>
      <c r="AB39" s="19"/>
      <c r="AC39" s="99">
        <f>+((AC48+AA48)/2)*AC58</f>
        <v>1699.3322619</v>
      </c>
      <c r="AD39" s="99">
        <f>+((AD48+AC48)/2)*AD58</f>
        <v>1840.3483029288002</v>
      </c>
      <c r="AE39" s="99">
        <f t="shared" ref="AE39:AF39" si="73">+((AE48+AD48)/2)*AE58</f>
        <v>2026.194091488001</v>
      </c>
      <c r="AF39" s="99">
        <f t="shared" si="73"/>
        <v>2350.9293216076803</v>
      </c>
      <c r="AG39" s="19"/>
    </row>
    <row r="40" spans="1:33" s="92" customFormat="1" outlineLevel="1" x14ac:dyDescent="0.3">
      <c r="A40" s="125"/>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17401.458057977808</v>
      </c>
      <c r="Z40" s="100">
        <f t="shared" ref="Z40:AA40" si="81">SUM(Z36:Z39)</f>
        <v>17913.2695595</v>
      </c>
      <c r="AA40" s="100">
        <f t="shared" si="81"/>
        <v>21124.789661499999</v>
      </c>
      <c r="AB40" s="91"/>
      <c r="AC40" s="100">
        <f>SUM(AC36:AC39)</f>
        <v>18348.233029223851</v>
      </c>
      <c r="AD40" s="100">
        <f>SUM(AD36:AD39)</f>
        <v>19139.039724313596</v>
      </c>
      <c r="AE40" s="100">
        <f t="shared" ref="AE40:AF40" si="82">SUM(AE36:AE39)</f>
        <v>20450.32777890057</v>
      </c>
      <c r="AF40" s="100">
        <f t="shared" si="82"/>
        <v>25012.987189029209</v>
      </c>
      <c r="AG40" s="91"/>
    </row>
    <row r="41" spans="1:33" ht="17.399999999999999" x14ac:dyDescent="0.45">
      <c r="A41" s="124"/>
      <c r="B41" s="174" t="s">
        <v>86</v>
      </c>
      <c r="C41" s="175"/>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119</v>
      </c>
      <c r="T41" s="27" t="s">
        <v>125</v>
      </c>
      <c r="U41" s="27" t="s">
        <v>126</v>
      </c>
      <c r="V41" s="27" t="s">
        <v>127</v>
      </c>
      <c r="W41" s="80" t="s">
        <v>128</v>
      </c>
      <c r="X41" s="27" t="s">
        <v>129</v>
      </c>
      <c r="Y41" s="25" t="s">
        <v>106</v>
      </c>
      <c r="Z41" s="25" t="s">
        <v>107</v>
      </c>
      <c r="AA41" s="25" t="s">
        <v>108</v>
      </c>
      <c r="AB41" s="82" t="s">
        <v>109</v>
      </c>
      <c r="AC41" s="25" t="s">
        <v>110</v>
      </c>
      <c r="AD41" s="25" t="s">
        <v>111</v>
      </c>
      <c r="AE41" s="25" t="s">
        <v>112</v>
      </c>
      <c r="AF41" s="25" t="s">
        <v>113</v>
      </c>
      <c r="AG41" s="82" t="s">
        <v>114</v>
      </c>
    </row>
    <row r="42" spans="1:33" ht="15.6" outlineLevel="1" x14ac:dyDescent="0.3">
      <c r="A42" s="124"/>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253.76000000000002</v>
      </c>
      <c r="Z42" s="29">
        <f t="shared" ref="Z42" si="84">U42*(1+Z43)</f>
        <v>259.35000000000002</v>
      </c>
      <c r="AA42" s="29">
        <f t="shared" ref="AA42" si="85">V42*(1+AA43)</f>
        <v>262.88</v>
      </c>
      <c r="AB42" s="19"/>
      <c r="AC42" s="29">
        <f>X42*(1+AC43)</f>
        <v>265.65000000000003</v>
      </c>
      <c r="AD42" s="29">
        <f t="shared" ref="AD42" si="86">Y42*(1+AD43)</f>
        <v>263.91040000000004</v>
      </c>
      <c r="AE42" s="29">
        <f t="shared" ref="AE42" si="87">Z42*(1+AE43)</f>
        <v>267.13050000000004</v>
      </c>
      <c r="AF42" s="29">
        <f t="shared" ref="AF42" si="88">AA42*(1+AF43)</f>
        <v>268.13760000000002</v>
      </c>
      <c r="AG42" s="19"/>
    </row>
    <row r="43" spans="1:33" ht="15.6" outlineLevel="1" x14ac:dyDescent="0.3">
      <c r="A43" s="124"/>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26">
        <f>+S42/N42-1</f>
        <v>8.2987551867219622E-3</v>
      </c>
      <c r="T43" s="55">
        <f>+T42/O42-1</f>
        <v>1.2448132780082943E-2</v>
      </c>
      <c r="U43" s="55">
        <f>+U42/P42-1</f>
        <v>2.0661157024793431E-2</v>
      </c>
      <c r="V43" s="55">
        <f>+V42/Q42-1</f>
        <v>2.4793388429751984E-2</v>
      </c>
      <c r="W43" s="19"/>
      <c r="X43" s="126">
        <f>+X42/S42-1</f>
        <v>4.1152263374485631E-2</v>
      </c>
      <c r="Y43" s="59">
        <v>0.04</v>
      </c>
      <c r="Z43" s="59">
        <v>0.05</v>
      </c>
      <c r="AA43" s="59">
        <v>0.06</v>
      </c>
      <c r="AB43" s="19"/>
      <c r="AC43" s="59">
        <v>0.05</v>
      </c>
      <c r="AD43" s="59">
        <v>0.04</v>
      </c>
      <c r="AE43" s="59">
        <v>0.03</v>
      </c>
      <c r="AF43" s="59">
        <v>0.02</v>
      </c>
      <c r="AG43" s="19"/>
    </row>
    <row r="44" spans="1:33" outlineLevel="1" x14ac:dyDescent="0.3">
      <c r="A44" s="124"/>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19">
        <v>384</v>
      </c>
      <c r="T44" s="29">
        <v>385</v>
      </c>
      <c r="U44" s="29">
        <v>387</v>
      </c>
      <c r="V44" s="29">
        <v>394</v>
      </c>
      <c r="W44" s="19"/>
      <c r="X44" s="29">
        <v>406</v>
      </c>
      <c r="Y44" s="29">
        <f t="shared" ref="Y44" si="89">T44*(1+Y45)</f>
        <v>408.1</v>
      </c>
      <c r="Z44" s="29">
        <f t="shared" ref="Z44" si="90">U44*(1+Z45)</f>
        <v>414.09000000000003</v>
      </c>
      <c r="AA44" s="29">
        <f t="shared" ref="AA44" si="91">V44*(1+AA45)</f>
        <v>425.52000000000004</v>
      </c>
      <c r="AB44" s="19"/>
      <c r="AC44" s="29">
        <f>X44*(1+AC45)</f>
        <v>433.13010416666668</v>
      </c>
      <c r="AD44" s="29">
        <f t="shared" ref="AD44" si="92">Y44*(1+AD45)</f>
        <v>432.58600000000007</v>
      </c>
      <c r="AE44" s="29">
        <f t="shared" ref="AE44" si="93">Z44*(1+AE45)</f>
        <v>434.79450000000003</v>
      </c>
      <c r="AF44" s="29">
        <f t="shared" ref="AF44" si="94">AA44*(1+AF45)</f>
        <v>442.54080000000005</v>
      </c>
      <c r="AG44" s="19"/>
    </row>
    <row r="45" spans="1:33" outlineLevel="1" x14ac:dyDescent="0.3">
      <c r="A45" s="124"/>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26">
        <f>+S44/N44-1</f>
        <v>1.8567639257294433E-2</v>
      </c>
      <c r="T45" s="55">
        <f>+T44/O44-1</f>
        <v>2.3936170212766061E-2</v>
      </c>
      <c r="U45" s="55">
        <f>+U44/P44-1</f>
        <v>3.2000000000000028E-2</v>
      </c>
      <c r="V45" s="55">
        <f>+V44/Q44-1</f>
        <v>3.4120734908136496E-2</v>
      </c>
      <c r="W45" s="19"/>
      <c r="X45" s="126">
        <f>+X44/S44-1</f>
        <v>5.7291666666666741E-2</v>
      </c>
      <c r="Y45" s="59">
        <v>0.06</v>
      </c>
      <c r="Z45" s="59">
        <v>7.0000000000000007E-2</v>
      </c>
      <c r="AA45" s="59">
        <v>0.08</v>
      </c>
      <c r="AB45" s="19"/>
      <c r="AC45" s="59">
        <f>AVERAGE(X45,Y45,Z45,AA45)</f>
        <v>6.682291666666669E-2</v>
      </c>
      <c r="AD45" s="59">
        <v>0.06</v>
      </c>
      <c r="AE45" s="59">
        <v>0.05</v>
      </c>
      <c r="AF45" s="59">
        <v>0.04</v>
      </c>
      <c r="AG45" s="19"/>
    </row>
    <row r="46" spans="1:33" outlineLevel="1" x14ac:dyDescent="0.3">
      <c r="A46" s="124"/>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19">
        <v>981</v>
      </c>
      <c r="T46" s="29">
        <v>1003</v>
      </c>
      <c r="U46" s="29">
        <v>1013</v>
      </c>
      <c r="V46" s="29">
        <v>1038.4000000000001</v>
      </c>
      <c r="W46" s="24"/>
      <c r="X46" s="29">
        <v>1093</v>
      </c>
      <c r="Y46" s="29">
        <f t="shared" ref="Y46" si="95">T46*(1+Y47)</f>
        <v>1108.3150000000001</v>
      </c>
      <c r="Z46" s="29">
        <f t="shared" ref="Z46" si="96">U46*(1+Z47)</f>
        <v>1124.43</v>
      </c>
      <c r="AA46" s="29">
        <f t="shared" ref="AA46" si="97">V46*(1+AA47)</f>
        <v>1157.816</v>
      </c>
      <c r="AB46" s="22"/>
      <c r="AC46" s="29">
        <f>X46*(1+AC47)</f>
        <v>1214.3692380224261</v>
      </c>
      <c r="AD46" s="29">
        <f t="shared" ref="AD46" si="98">Y46*(1+AD47)</f>
        <v>1219.1465000000001</v>
      </c>
      <c r="AE46" s="29">
        <f t="shared" ref="AE46" si="99">Z46*(1+AE47)</f>
        <v>1225.6287000000002</v>
      </c>
      <c r="AF46" s="29">
        <f t="shared" ref="AF46" si="100">AA46*(1+AF47)</f>
        <v>1250.44128</v>
      </c>
      <c r="AG46" s="22"/>
    </row>
    <row r="47" spans="1:33" outlineLevel="1" x14ac:dyDescent="0.3">
      <c r="A47" s="124"/>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26">
        <f>+S46/N46-1</f>
        <v>0.12371134020618557</v>
      </c>
      <c r="T47" s="55">
        <f>+T46/O46-1</f>
        <v>0.12192393736017904</v>
      </c>
      <c r="U47" s="55">
        <f>+U46/P46-1</f>
        <v>0.10468920392584513</v>
      </c>
      <c r="V47" s="55">
        <f>+V46/Q46-1</f>
        <v>9.6515311510031676E-2</v>
      </c>
      <c r="W47" s="24"/>
      <c r="X47" s="126">
        <f>+X46/S46-1</f>
        <v>0.11416921508664624</v>
      </c>
      <c r="Y47" s="59">
        <v>0.105</v>
      </c>
      <c r="Z47" s="59">
        <v>0.11</v>
      </c>
      <c r="AA47" s="59">
        <v>0.115</v>
      </c>
      <c r="AB47" s="19"/>
      <c r="AC47" s="59">
        <f>AVERAGE(X47,Y47,Z47,AA47)</f>
        <v>0.11104230377166155</v>
      </c>
      <c r="AD47" s="59">
        <v>0.1</v>
      </c>
      <c r="AE47" s="59">
        <v>0.09</v>
      </c>
      <c r="AF47" s="59">
        <v>0.08</v>
      </c>
      <c r="AG47" s="19"/>
    </row>
    <row r="48" spans="1:33" outlineLevel="1" x14ac:dyDescent="0.3">
      <c r="A48" s="124"/>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19">
        <v>768</v>
      </c>
      <c r="T48" s="29">
        <v>782</v>
      </c>
      <c r="U48" s="29">
        <v>802</v>
      </c>
      <c r="V48" s="29">
        <v>817.4</v>
      </c>
      <c r="W48" s="19"/>
      <c r="X48" s="29">
        <v>851</v>
      </c>
      <c r="Y48" s="29">
        <f t="shared" ref="Y48" si="101">T48*(1+Y49)</f>
        <v>868.0200000000001</v>
      </c>
      <c r="Z48" s="29">
        <f t="shared" ref="Z48" si="102">U48*(1+Z49)</f>
        <v>898.24000000000012</v>
      </c>
      <c r="AA48" s="29">
        <f t="shared" ref="AA48" si="103">V48*(1+AA49)</f>
        <v>923.66199999999992</v>
      </c>
      <c r="AB48" s="19"/>
      <c r="AC48" s="29">
        <f>X48*(1+AC49)</f>
        <v>953.12000000000012</v>
      </c>
      <c r="AD48" s="29">
        <f t="shared" ref="AD48" si="104">Y48*(1+AD49)</f>
        <v>963.50220000000024</v>
      </c>
      <c r="AE48" s="29">
        <f t="shared" ref="AE48" si="105">Z48*(1+AE49)</f>
        <v>988.06400000000019</v>
      </c>
      <c r="AF48" s="29">
        <f t="shared" ref="AF48" si="106">AA48*(1+AF49)</f>
        <v>1006.79158</v>
      </c>
      <c r="AG48" s="19"/>
    </row>
    <row r="49" spans="1:33" outlineLevel="1" x14ac:dyDescent="0.3">
      <c r="A49" s="124"/>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26">
        <f>+S48/N48-1</f>
        <v>8.9361702127659592E-2</v>
      </c>
      <c r="T49" s="55">
        <f>+T48/O48-1</f>
        <v>8.1604426002766184E-2</v>
      </c>
      <c r="U49" s="55">
        <f>+U48/P48-1</f>
        <v>8.9673913043478271E-2</v>
      </c>
      <c r="V49" s="55">
        <f>+V48/Q48-1</f>
        <v>8.9866666666666539E-2</v>
      </c>
      <c r="W49" s="19"/>
      <c r="X49" s="126">
        <f>+X48/S48-1</f>
        <v>0.10807291666666674</v>
      </c>
      <c r="Y49" s="59">
        <v>0.11</v>
      </c>
      <c r="Z49" s="59">
        <v>0.12</v>
      </c>
      <c r="AA49" s="59">
        <v>0.13</v>
      </c>
      <c r="AB49" s="19"/>
      <c r="AC49" s="59">
        <v>0.12</v>
      </c>
      <c r="AD49" s="59">
        <v>0.11</v>
      </c>
      <c r="AE49" s="59">
        <v>0.1</v>
      </c>
      <c r="AF49" s="59">
        <v>0.09</v>
      </c>
      <c r="AG49" s="19"/>
    </row>
    <row r="50" spans="1:33" s="21" customFormat="1" outlineLevel="1" x14ac:dyDescent="0.3">
      <c r="A50" s="127"/>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2638.1950000000002</v>
      </c>
      <c r="Z50" s="40">
        <f t="shared" si="111"/>
        <v>2696.11</v>
      </c>
      <c r="AA50" s="40">
        <f t="shared" si="111"/>
        <v>2769.8780000000002</v>
      </c>
      <c r="AB50" s="95"/>
      <c r="AC50" s="40">
        <f>+AC42+AC44+AC46+AC48</f>
        <v>2866.2693421890926</v>
      </c>
      <c r="AD50" s="40">
        <f t="shared" ref="AD50:AF50" si="112">+AD42+AD44+AD46+AD48</f>
        <v>2879.1451000000006</v>
      </c>
      <c r="AE50" s="40">
        <f t="shared" si="112"/>
        <v>2915.6177000000007</v>
      </c>
      <c r="AF50" s="40">
        <f t="shared" si="112"/>
        <v>2967.9112599999999</v>
      </c>
      <c r="AG50" s="95"/>
    </row>
    <row r="51" spans="1:33" ht="17.399999999999999" x14ac:dyDescent="0.45">
      <c r="A51" s="124"/>
      <c r="B51" s="171" t="s">
        <v>87</v>
      </c>
      <c r="C51" s="17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119</v>
      </c>
      <c r="T51" s="27" t="s">
        <v>125</v>
      </c>
      <c r="U51" s="27" t="s">
        <v>126</v>
      </c>
      <c r="V51" s="27" t="s">
        <v>127</v>
      </c>
      <c r="W51" s="80" t="s">
        <v>128</v>
      </c>
      <c r="X51" s="27" t="s">
        <v>129</v>
      </c>
      <c r="Y51" s="25" t="s">
        <v>106</v>
      </c>
      <c r="Z51" s="25" t="s">
        <v>107</v>
      </c>
      <c r="AA51" s="25" t="s">
        <v>108</v>
      </c>
      <c r="AB51" s="82" t="s">
        <v>109</v>
      </c>
      <c r="AC51" s="25" t="s">
        <v>110</v>
      </c>
      <c r="AD51" s="25" t="s">
        <v>111</v>
      </c>
      <c r="AE51" s="25" t="s">
        <v>112</v>
      </c>
      <c r="AF51" s="25" t="s">
        <v>113</v>
      </c>
      <c r="AG51" s="82" t="s">
        <v>114</v>
      </c>
    </row>
    <row r="52" spans="1:33" ht="15.6" outlineLevel="1" x14ac:dyDescent="0.3">
      <c r="A52" s="124"/>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33.513499999999993</v>
      </c>
      <c r="AA52" s="45">
        <f t="shared" ref="AA52" si="115">V52*(1+AA53)</f>
        <v>39.339499999999994</v>
      </c>
      <c r="AB52" s="19"/>
      <c r="AC52" s="45">
        <f>X52*(1+AC53)</f>
        <v>33.496400000000001</v>
      </c>
      <c r="AD52" s="45">
        <f t="shared" ref="AD52" si="116">Y52*(1+AD53)</f>
        <v>34.449675174138164</v>
      </c>
      <c r="AE52" s="45">
        <f t="shared" ref="AE52" si="117">Z52*(1+AE53)</f>
        <v>36.864849999999997</v>
      </c>
      <c r="AF52" s="45">
        <f t="shared" ref="AF52" si="118">AA52*(1+AF53)</f>
        <v>45.240424999999988</v>
      </c>
      <c r="AG52" s="19"/>
    </row>
    <row r="53" spans="1:33" ht="15.6" outlineLevel="1" x14ac:dyDescent="0.3">
      <c r="A53" s="124"/>
      <c r="B53" s="47" t="s">
        <v>120</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26">
        <f>+S52/N52-1</f>
        <v>0.27681220856295052</v>
      </c>
      <c r="T53" s="55">
        <f t="shared" ref="T53:V53" si="123">+T52/O52-1</f>
        <v>0.28406020841374002</v>
      </c>
      <c r="U53" s="55">
        <f t="shared" si="123"/>
        <v>0.25135820354943861</v>
      </c>
      <c r="V53" s="55">
        <f t="shared" si="123"/>
        <v>0.18789443488238655</v>
      </c>
      <c r="W53" s="19"/>
      <c r="X53" s="126">
        <f>+X52/S52-1</f>
        <v>0.13479415670650718</v>
      </c>
      <c r="Y53" s="59">
        <f>AVERAGE(T53,U53,V53,X53)-22.8376632115546%</f>
        <v>-1.3849881227527894E-2</v>
      </c>
      <c r="Z53" s="59">
        <v>-0.03</v>
      </c>
      <c r="AA53" s="59">
        <v>-0.05</v>
      </c>
      <c r="AB53" s="19"/>
      <c r="AC53" s="59">
        <v>-0.02</v>
      </c>
      <c r="AD53" s="59">
        <v>0.05</v>
      </c>
      <c r="AE53" s="59">
        <v>0.1</v>
      </c>
      <c r="AF53" s="59">
        <v>0.15</v>
      </c>
      <c r="AG53" s="19"/>
    </row>
    <row r="54" spans="1:33" outlineLevel="1" x14ac:dyDescent="0.3">
      <c r="A54" s="124"/>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28">
        <v>9.5500000000000007</v>
      </c>
      <c r="T54" s="45">
        <v>10.7</v>
      </c>
      <c r="U54" s="45">
        <v>10.68</v>
      </c>
      <c r="V54" s="45">
        <v>13.21</v>
      </c>
      <c r="W54" s="19"/>
      <c r="X54" s="45">
        <v>10.64</v>
      </c>
      <c r="Y54" s="45">
        <f t="shared" ref="Y54" si="124">T54*(1+Y55)</f>
        <v>10.379</v>
      </c>
      <c r="Z54" s="45">
        <f t="shared" ref="Z54" si="125">U54*(1+Z55)</f>
        <v>10.145999999999999</v>
      </c>
      <c r="AA54" s="45">
        <f t="shared" ref="AA54" si="126">V54*(1+AA55)</f>
        <v>12.285299999999999</v>
      </c>
      <c r="AB54" s="19"/>
      <c r="AC54" s="45">
        <f>X54*(1+AC55)</f>
        <v>10.214399999999999</v>
      </c>
      <c r="AD54" s="45">
        <f t="shared" ref="AD54" si="127">Y54*(1+AD55)</f>
        <v>10.69037</v>
      </c>
      <c r="AE54" s="45">
        <f t="shared" ref="AE54" si="128">Z54*(1+AE55)</f>
        <v>10.93160676019971</v>
      </c>
      <c r="AF54" s="45">
        <f t="shared" ref="AF54" si="129">AA54*(1+AF55)</f>
        <v>13.882388999999998</v>
      </c>
      <c r="AG54" s="19"/>
    </row>
    <row r="55" spans="1:33" outlineLevel="1" x14ac:dyDescent="0.3">
      <c r="A55" s="124"/>
      <c r="B55" s="47" t="s">
        <v>123</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26">
        <f>+S54/N54-1</f>
        <v>0.17610837438423665</v>
      </c>
      <c r="T55" s="55">
        <f t="shared" ref="T55:V55" si="136">+T54/O54-1</f>
        <v>0.22146118721461172</v>
      </c>
      <c r="U55" s="55">
        <f t="shared" si="136"/>
        <v>0.21088435374149661</v>
      </c>
      <c r="V55" s="55">
        <f t="shared" si="136"/>
        <v>0.2030965391621129</v>
      </c>
      <c r="W55" s="19"/>
      <c r="X55" s="126">
        <f>+X54/S54-1</f>
        <v>0.11413612565445019</v>
      </c>
      <c r="Y55" s="59">
        <v>-0.03</v>
      </c>
      <c r="Z55" s="59">
        <v>-0.05</v>
      </c>
      <c r="AA55" s="59">
        <v>-7.0000000000000007E-2</v>
      </c>
      <c r="AB55" s="19"/>
      <c r="AC55" s="59">
        <v>-0.04</v>
      </c>
      <c r="AD55" s="59">
        <v>0.03</v>
      </c>
      <c r="AE55" s="59">
        <f>AVERAGE(Z55,AA55,AC55,AD55)+10.9930195170482%</f>
        <v>7.7430195170481997E-2</v>
      </c>
      <c r="AF55" s="59">
        <v>0.13</v>
      </c>
      <c r="AG55" s="19"/>
    </row>
    <row r="56" spans="1:33" outlineLevel="1" x14ac:dyDescent="0.3">
      <c r="A56" s="124"/>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28">
        <v>2.78</v>
      </c>
      <c r="T56" s="45">
        <v>3.04</v>
      </c>
      <c r="U56" s="45">
        <v>3.24</v>
      </c>
      <c r="V56" s="45">
        <v>3.57</v>
      </c>
      <c r="W56" s="19"/>
      <c r="X56" s="45">
        <v>3.06</v>
      </c>
      <c r="Y56" s="45">
        <f t="shared" ref="Y56" si="137">T56*(1+Y57)</f>
        <v>2.8884476362914882</v>
      </c>
      <c r="Z56" s="45">
        <f t="shared" ref="Z56" si="138">U56*(1+Z57)</f>
        <v>3.0131999999999999</v>
      </c>
      <c r="AA56" s="45">
        <f t="shared" ref="AA56" si="139">V56*(1+AA57)</f>
        <v>3.2486999999999999</v>
      </c>
      <c r="AB56" s="19"/>
      <c r="AC56" s="45">
        <f>X56*(1+AC57)</f>
        <v>2.8763999999999998</v>
      </c>
      <c r="AD56" s="45">
        <f t="shared" ref="AD56" si="140">Y56*(1+AD57)</f>
        <v>2.9173321126544032</v>
      </c>
      <c r="AE56" s="45">
        <f t="shared" ref="AE56" si="141">Z56*(1+AE57)</f>
        <v>3.1862486640876964</v>
      </c>
      <c r="AF56" s="45">
        <f t="shared" ref="AF56" si="142">AA56*(1+AF57)</f>
        <v>3.6060570000000003</v>
      </c>
      <c r="AG56" s="19"/>
    </row>
    <row r="57" spans="1:33" outlineLevel="1" x14ac:dyDescent="0.3">
      <c r="A57" s="124"/>
      <c r="B57" s="47" t="s">
        <v>122</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26">
        <f>+S56/N56-1</f>
        <v>0.13008130081300817</v>
      </c>
      <c r="T57" s="55">
        <f t="shared" ref="T57:V57" si="149">+T56/O56-1</f>
        <v>0.16030534351145032</v>
      </c>
      <c r="U57" s="55">
        <f t="shared" si="149"/>
        <v>0.21348314606741581</v>
      </c>
      <c r="V57" s="55">
        <f t="shared" si="149"/>
        <v>0.20608108108108114</v>
      </c>
      <c r="W57" s="22"/>
      <c r="X57" s="126">
        <f>+X56/S56-1</f>
        <v>0.10071942446043169</v>
      </c>
      <c r="Y57" s="59">
        <f>AVERAGE(T57,U57,V57,X57)-22%</f>
        <v>-4.9852751219905261E-2</v>
      </c>
      <c r="Z57" s="59">
        <v>-7.0000000000000007E-2</v>
      </c>
      <c r="AA57" s="59">
        <v>-0.09</v>
      </c>
      <c r="AB57" s="19"/>
      <c r="AC57" s="59">
        <v>-0.06</v>
      </c>
      <c r="AD57" s="59">
        <v>0.01</v>
      </c>
      <c r="AE57" s="59">
        <f>AVERAGE(Z57,AA57,AC57,AD57)+10.9930195170482%</f>
        <v>5.7430195170482E-2</v>
      </c>
      <c r="AF57" s="59">
        <v>0.11</v>
      </c>
      <c r="AG57" s="19"/>
    </row>
    <row r="58" spans="1:33" outlineLevel="1" x14ac:dyDescent="0.3">
      <c r="A58" s="124"/>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28">
        <v>1.89</v>
      </c>
      <c r="T58" s="45">
        <v>2.13</v>
      </c>
      <c r="U58" s="45">
        <v>2.2400000000000002</v>
      </c>
      <c r="V58" s="45">
        <v>2.48</v>
      </c>
      <c r="W58" s="19"/>
      <c r="X58" s="45">
        <v>1.99</v>
      </c>
      <c r="Y58" s="45">
        <f t="shared" ref="Y58" si="150">T58*(1+Y59)</f>
        <v>1.9596</v>
      </c>
      <c r="Z58" s="45">
        <f t="shared" ref="Z58" si="151">U58*(1+Z59)</f>
        <v>2.0160000000000005</v>
      </c>
      <c r="AA58" s="45">
        <f t="shared" ref="AA58" si="152">V58*(1+AA59)</f>
        <v>2.1823999999999999</v>
      </c>
      <c r="AB58" s="19"/>
      <c r="AC58" s="45">
        <f>X58*(1+AC59)</f>
        <v>1.8109</v>
      </c>
      <c r="AD58" s="45">
        <f t="shared" ref="AD58" si="153">Y58*(1+AD59)</f>
        <v>1.9204079999999999</v>
      </c>
      <c r="AE58" s="45">
        <f t="shared" ref="AE58" si="154">Z58*(1+AE59)</f>
        <v>2.0764800000000005</v>
      </c>
      <c r="AF58" s="45">
        <f t="shared" ref="AF58" si="155">AA58*(1+AF59)</f>
        <v>2.356992</v>
      </c>
      <c r="AG58" s="19"/>
    </row>
    <row r="59" spans="1:33" ht="16.2" outlineLevel="1" x14ac:dyDescent="0.45">
      <c r="A59" s="124"/>
      <c r="B59" s="47" t="s">
        <v>121</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26">
        <f>+S58/N58-1</f>
        <v>0.125</v>
      </c>
      <c r="T59" s="55">
        <f t="shared" ref="T59:V59" si="162">+T58/O58-1</f>
        <v>0.11518324607329844</v>
      </c>
      <c r="U59" s="55">
        <f t="shared" si="162"/>
        <v>0.23076923076923084</v>
      </c>
      <c r="V59" s="55">
        <f t="shared" si="162"/>
        <v>0.17535545023696697</v>
      </c>
      <c r="W59" s="98"/>
      <c r="X59" s="126">
        <f>+X58/S58-1</f>
        <v>5.2910052910053018E-2</v>
      </c>
      <c r="Y59" s="59">
        <v>-0.08</v>
      </c>
      <c r="Z59" s="59">
        <v>-0.1</v>
      </c>
      <c r="AA59" s="59">
        <v>-0.12</v>
      </c>
      <c r="AB59" s="19"/>
      <c r="AC59" s="59">
        <v>-0.09</v>
      </c>
      <c r="AD59" s="59">
        <v>-0.02</v>
      </c>
      <c r="AE59" s="59">
        <v>0.03</v>
      </c>
      <c r="AF59" s="59">
        <v>0.08</v>
      </c>
      <c r="AG59" s="19"/>
    </row>
    <row r="60" spans="1:33" outlineLevel="1" x14ac:dyDescent="0.3">
      <c r="A60" s="124"/>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22">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6.6402635498117544</v>
      </c>
      <c r="Z60" s="43">
        <f t="shared" ref="Z60:AA60" si="167">+Z40/((Y50+Z50)/2)</f>
        <v>6.7162524675660649</v>
      </c>
      <c r="AA60" s="43">
        <f t="shared" si="167"/>
        <v>7.7295411777340153</v>
      </c>
      <c r="AB60" s="19"/>
      <c r="AC60" s="43">
        <f>+AC40/((AA50+AC50)/2)</f>
        <v>6.510913187765369</v>
      </c>
      <c r="AD60" s="43">
        <f>+AD40/((AC50+AD50)/2)</f>
        <v>6.6623704580034859</v>
      </c>
      <c r="AE60" s="43">
        <f t="shared" ref="AE60:AF60" si="168">+AE40/((AD50+AE50)/2)</f>
        <v>7.0582104858202532</v>
      </c>
      <c r="AF60" s="43">
        <f t="shared" si="168"/>
        <v>8.5027157541276743</v>
      </c>
      <c r="AG60" s="19"/>
    </row>
    <row r="61" spans="1:33" ht="17.399999999999999" x14ac:dyDescent="0.45">
      <c r="A61" s="124"/>
      <c r="B61" s="171" t="s">
        <v>26</v>
      </c>
      <c r="C61" s="17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119</v>
      </c>
      <c r="T61" s="27" t="s">
        <v>125</v>
      </c>
      <c r="U61" s="27" t="s">
        <v>126</v>
      </c>
      <c r="V61" s="27" t="s">
        <v>127</v>
      </c>
      <c r="W61" s="80" t="s">
        <v>128</v>
      </c>
      <c r="X61" s="27" t="s">
        <v>129</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29"/>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24"/>
      <c r="B63" s="171" t="s">
        <v>16</v>
      </c>
      <c r="C63" s="17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119</v>
      </c>
      <c r="T63" s="27" t="s">
        <v>125</v>
      </c>
      <c r="U63" s="27" t="s">
        <v>126</v>
      </c>
      <c r="V63" s="27" t="s">
        <v>127</v>
      </c>
      <c r="W63" s="80" t="s">
        <v>128</v>
      </c>
      <c r="X63" s="27" t="s">
        <v>129</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31"/>
      <c r="B64" s="176" t="s">
        <v>101</v>
      </c>
      <c r="C64" s="177"/>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3.0525764418915635E-2</v>
      </c>
      <c r="Z64" s="55">
        <f t="shared" si="175"/>
        <v>1.4801130721731282E-2</v>
      </c>
      <c r="AA64" s="55">
        <f t="shared" si="175"/>
        <v>2.0296775211079421E-3</v>
      </c>
      <c r="AB64" s="53">
        <f t="shared" si="175"/>
        <v>4.9217325756083286E-2</v>
      </c>
      <c r="AC64" s="55">
        <f t="shared" si="175"/>
        <v>3.4460902589155573E-2</v>
      </c>
      <c r="AD64" s="55">
        <f t="shared" si="175"/>
        <v>9.9852648010675393E-2</v>
      </c>
      <c r="AE64" s="55">
        <f t="shared" si="175"/>
        <v>0.14163010336966009</v>
      </c>
      <c r="AF64" s="55">
        <f t="shared" si="175"/>
        <v>0.18405852033714987</v>
      </c>
      <c r="AG64" s="53">
        <f t="shared" si="175"/>
        <v>0.11828636291307859</v>
      </c>
    </row>
    <row r="65" spans="1:33" s="42" customFormat="1" outlineLevel="1" x14ac:dyDescent="0.3">
      <c r="A65" s="131"/>
      <c r="B65" s="176" t="s">
        <v>102</v>
      </c>
      <c r="C65" s="177"/>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-1.8917626544635024E-2</v>
      </c>
      <c r="Z65" s="55">
        <f t="shared" si="179"/>
        <v>2.9411989490590429E-2</v>
      </c>
      <c r="AA65" s="55">
        <f t="shared" si="179"/>
        <v>0.17928162646873269</v>
      </c>
      <c r="AB65" s="53"/>
      <c r="AC65" s="55">
        <f>+AC13/AA13-1</f>
        <v>-0.13143594216876076</v>
      </c>
      <c r="AD65" s="55">
        <f t="shared" ref="AD65:AF65" si="180">+AD13/AC13-1</f>
        <v>4.3099882905901721E-2</v>
      </c>
      <c r="AE65" s="55">
        <f t="shared" si="180"/>
        <v>6.8513785094513224E-2</v>
      </c>
      <c r="AF65" s="55">
        <f t="shared" si="180"/>
        <v>0.22310935352518513</v>
      </c>
      <c r="AG65" s="53"/>
    </row>
    <row r="66" spans="1:33" s="42" customFormat="1" outlineLevel="1" x14ac:dyDescent="0.3">
      <c r="A66" s="131"/>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17689.658057977809</v>
      </c>
      <c r="Z66" s="29">
        <f>+Z84+Z13</f>
        <v>18144.309559500001</v>
      </c>
      <c r="AA66" s="29">
        <f>+AA84+AA13</f>
        <v>21342.637661500001</v>
      </c>
      <c r="AB66" s="30">
        <f>SUM(X66:AA66)</f>
        <v>75188.605278977819</v>
      </c>
      <c r="AC66" s="29">
        <f>+AC84+AC13</f>
        <v>18550.650629223852</v>
      </c>
      <c r="AD66" s="29">
        <f>+AD84+AD13</f>
        <v>19326.940844313594</v>
      </c>
      <c r="AE66" s="29">
        <f>+AE84+AE13</f>
        <v>20618.16912290057</v>
      </c>
      <c r="AF66" s="29">
        <f>+AF84+AF13</f>
        <v>25206.989205029207</v>
      </c>
      <c r="AG66" s="30">
        <f>SUM(AC66:AF66)</f>
        <v>83702.749801467231</v>
      </c>
    </row>
    <row r="67" spans="1:33" s="42" customFormat="1" outlineLevel="1" x14ac:dyDescent="0.3">
      <c r="A67" s="131"/>
      <c r="B67" s="176" t="s">
        <v>103</v>
      </c>
      <c r="C67" s="177"/>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33">
        <f>+W66/R13-1</f>
        <v>0.29599914037035702</v>
      </c>
      <c r="X67" s="55">
        <f>+X66/S13-1</f>
        <v>0.19466737414605029</v>
      </c>
      <c r="Y67" s="55">
        <f t="shared" ref="Y67" si="182">+Y66/T13-1</f>
        <v>4.7593157525631202E-2</v>
      </c>
      <c r="Z67" s="55">
        <f t="shared" ref="Z67" si="183">+Z66/U13-1</f>
        <v>2.7889732579877702E-2</v>
      </c>
      <c r="AA67" s="55">
        <f t="shared" ref="AA67" si="184">+AA66/V13-1</f>
        <v>1.2363042476994712E-2</v>
      </c>
      <c r="AB67" s="133">
        <f>+AB66/W13-1</f>
        <v>6.3533180742857853E-2</v>
      </c>
      <c r="AC67" s="55">
        <f>+AC66/X13-1</f>
        <v>4.5873069246425757E-2</v>
      </c>
      <c r="AD67" s="55">
        <f t="shared" ref="AD67" si="185">+AD66/Y13-1</f>
        <v>0.11065065811844632</v>
      </c>
      <c r="AE67" s="55">
        <f t="shared" ref="AE67" si="186">+AE66/Z13-1</f>
        <v>0.15099976888172661</v>
      </c>
      <c r="AF67" s="55">
        <f t="shared" ref="AF67" si="187">+AF66/AA13-1</f>
        <v>0.19324213916169919</v>
      </c>
      <c r="AG67" s="133">
        <f>+AG66/AB13-1</f>
        <v>0.12842652731539372</v>
      </c>
    </row>
    <row r="68" spans="1:33" s="42" customFormat="1" outlineLevel="1" x14ac:dyDescent="0.3">
      <c r="A68" s="131"/>
      <c r="B68" s="176" t="s">
        <v>104</v>
      </c>
      <c r="C68" s="177"/>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33"/>
      <c r="X68" s="55"/>
      <c r="Y68" s="55"/>
      <c r="Z68" s="55"/>
      <c r="AA68" s="55"/>
      <c r="AB68" s="53"/>
      <c r="AC68" s="55"/>
      <c r="AD68" s="55"/>
      <c r="AE68" s="55"/>
      <c r="AF68" s="55"/>
      <c r="AG68" s="53"/>
    </row>
    <row r="69" spans="1:33" s="42" customFormat="1" outlineLevel="1" x14ac:dyDescent="0.3">
      <c r="A69" s="131"/>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30">
        <f>+S15/S13</f>
        <v>0.81322544272733299</v>
      </c>
      <c r="T69" s="55">
        <f t="shared" ref="T69:U69" si="190">+T15/T13</f>
        <v>0.80415729006277392</v>
      </c>
      <c r="U69" s="55">
        <f t="shared" si="190"/>
        <v>0.82126671198731027</v>
      </c>
      <c r="V69" s="55">
        <f t="shared" ref="V69" si="191">+V15/V13</f>
        <v>0.83436106631249407</v>
      </c>
      <c r="W69" s="133">
        <f>+W15/W13</f>
        <v>0.81936998741106415</v>
      </c>
      <c r="X69" s="130">
        <f>+X15/X13</f>
        <v>0.80498393189378137</v>
      </c>
      <c r="Y69" s="60">
        <v>0.79900000000000004</v>
      </c>
      <c r="Z69" s="60">
        <v>0.79300000000000004</v>
      </c>
      <c r="AA69" s="60">
        <v>0.78700000000000003</v>
      </c>
      <c r="AB69" s="54">
        <f>+AB15/AB13</f>
        <v>0.79556441010385348</v>
      </c>
      <c r="AC69" s="60">
        <v>0.79</v>
      </c>
      <c r="AD69" s="60">
        <v>0.79300000000000004</v>
      </c>
      <c r="AE69" s="60">
        <v>0.79600000000000004</v>
      </c>
      <c r="AF69" s="60">
        <v>0.79900000000000004</v>
      </c>
      <c r="AG69" s="54">
        <f>+AG15/AG13</f>
        <v>0.79488526943182503</v>
      </c>
    </row>
    <row r="70" spans="1:33" s="42" customFormat="1" outlineLevel="1" x14ac:dyDescent="0.3">
      <c r="A70" s="131"/>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33"/>
      <c r="X70" s="55">
        <f t="shared" ref="X70" si="195">+X17/X13</f>
        <v>0.22636297006258105</v>
      </c>
      <c r="Y70" s="60">
        <v>0.22800000000000001</v>
      </c>
      <c r="Z70" s="60">
        <v>0.22600000000000001</v>
      </c>
      <c r="AA70" s="60">
        <v>0.224</v>
      </c>
      <c r="AB70" s="54"/>
      <c r="AC70" s="60">
        <v>0.222</v>
      </c>
      <c r="AD70" s="60">
        <v>0.22</v>
      </c>
      <c r="AE70" s="60">
        <f t="shared" ref="AE70:AF70" si="196">AD70</f>
        <v>0.22</v>
      </c>
      <c r="AF70" s="60">
        <f t="shared" si="196"/>
        <v>0.22</v>
      </c>
      <c r="AG70" s="54"/>
    </row>
    <row r="71" spans="1:33" s="42" customFormat="1" outlineLevel="1" x14ac:dyDescent="0.3">
      <c r="A71" s="131"/>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33"/>
      <c r="X71" s="55">
        <f t="shared" ref="X71" si="200">+X18/X13</f>
        <v>0.15712916502226984</v>
      </c>
      <c r="Y71" s="60">
        <v>0.17</v>
      </c>
      <c r="Z71" s="60">
        <v>0.18</v>
      </c>
      <c r="AA71" s="60">
        <v>0.19</v>
      </c>
      <c r="AB71" s="151"/>
      <c r="AC71" s="60">
        <v>0.2</v>
      </c>
      <c r="AD71" s="60">
        <v>0.2</v>
      </c>
      <c r="AE71" s="60">
        <f t="shared" ref="AE71" si="201">AD71</f>
        <v>0.2</v>
      </c>
      <c r="AF71" s="60">
        <v>0.2</v>
      </c>
      <c r="AG71" s="54"/>
    </row>
    <row r="72" spans="1:33" s="42" customFormat="1" outlineLevel="1" x14ac:dyDescent="0.3">
      <c r="A72" s="131"/>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33"/>
      <c r="X72" s="55">
        <f t="shared" ref="X72" si="205">+X19/X13</f>
        <v>8.9248463663528219E-2</v>
      </c>
      <c r="Y72" s="60">
        <v>0.09</v>
      </c>
      <c r="Z72" s="60">
        <v>9.5000000000000001E-2</v>
      </c>
      <c r="AA72" s="60">
        <v>0.1</v>
      </c>
      <c r="AB72" s="54"/>
      <c r="AC72" s="60">
        <v>0.1</v>
      </c>
      <c r="AD72" s="60">
        <v>0.1</v>
      </c>
      <c r="AE72" s="60">
        <v>0.1</v>
      </c>
      <c r="AF72" s="60">
        <v>0.1</v>
      </c>
      <c r="AG72" s="54"/>
    </row>
    <row r="73" spans="1:33" s="42" customFormat="1" outlineLevel="1" x14ac:dyDescent="0.3">
      <c r="A73" s="131"/>
      <c r="B73" s="145" t="s">
        <v>11</v>
      </c>
      <c r="C73" s="146"/>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51873.921533983208</v>
      </c>
      <c r="AC73" s="51"/>
      <c r="AD73" s="51"/>
      <c r="AE73" s="51"/>
      <c r="AF73" s="51"/>
      <c r="AG73" s="30">
        <f>AG14+AG17+AG18+AG19</f>
        <v>60185.389532181922</v>
      </c>
    </row>
    <row r="74" spans="1:33" s="42" customFormat="1" outlineLevel="1" x14ac:dyDescent="0.3">
      <c r="A74" s="131"/>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50">
        <f>+(W14+W17+W18+W19)/(R14+R17+R18+R19)-1</f>
        <v>0.51046079223928853</v>
      </c>
      <c r="X74" s="55">
        <f>+(X14+X17+X18+X19)/(V14+V17+V18+V19)-1</f>
        <v>-3.1086387434554941E-2</v>
      </c>
      <c r="Y74" s="55">
        <f>+(Y14+Y17+Y18+Y19)/(W14+W17+W18+W19)-1</f>
        <v>-0.74332374383021749</v>
      </c>
      <c r="Z74" s="55">
        <f>+(Z14+Z17+Z18+Z19)/(X14+X17+X18+X19)-1</f>
        <v>7.0803347528368699E-2</v>
      </c>
      <c r="AA74" s="55">
        <f>+(AA14+AA17+AA18+AA19)/(Y14+Y17+Y18+Y19)-1</f>
        <v>0.28091981293669344</v>
      </c>
      <c r="AB74" s="53">
        <f>+(AB14+AB17+AB18+AB19)/(W14+W17+W18+W19)-1</f>
        <v>0.110529030292291</v>
      </c>
      <c r="AC74" s="55">
        <f>+(AC14+AC17+AC18+AC19)/(AA14+AA17+AA18+AA19)-1</f>
        <v>-0.12546232416441927</v>
      </c>
      <c r="AD74" s="55">
        <f>+(AD14+AD17+AD18+AD19)/(AB14+AB17+AB18+AB19)-1</f>
        <v>-0.73177115845269758</v>
      </c>
      <c r="AE74" s="55">
        <f>+(AE14+AE17+AE18+AE19)/(AC14+AC17+AC18+AC19)-1</f>
        <v>0.10238554833274627</v>
      </c>
      <c r="AF74" s="55">
        <f>+(AF14+AF17+AF18+AF19)/(AD14+AD17+AD18+AD19)-1</f>
        <v>0.29612315921197041</v>
      </c>
      <c r="AG74" s="53">
        <f>+(AG14+AG17+AG18+AG19)/(AB14+AB17+AB18+AB19)-1</f>
        <v>0.16022440086303824</v>
      </c>
    </row>
    <row r="75" spans="1:33" s="42" customFormat="1" outlineLevel="1" x14ac:dyDescent="0.3">
      <c r="A75" s="131"/>
      <c r="B75" s="176" t="s">
        <v>4</v>
      </c>
      <c r="C75" s="177"/>
      <c r="D75" s="51">
        <f t="shared" ref="D75:AG75" si="206">D21/D13</f>
        <v>0.37328130806391674</v>
      </c>
      <c r="E75" s="51">
        <f t="shared" si="206"/>
        <v>0.42666252330640148</v>
      </c>
      <c r="F75" s="51">
        <f t="shared" si="206"/>
        <v>0.445300242476109</v>
      </c>
      <c r="G75" s="51">
        <f t="shared" si="206"/>
        <v>0.51651719831990006</v>
      </c>
      <c r="H75" s="54">
        <f t="shared" si="206"/>
        <v>0.44963456111151312</v>
      </c>
      <c r="I75" s="51">
        <f t="shared" si="206"/>
        <v>0.41421812749003983</v>
      </c>
      <c r="J75" s="51">
        <f t="shared" si="206"/>
        <v>0.47215963952365625</v>
      </c>
      <c r="K75" s="51">
        <f t="shared" si="206"/>
        <v>0.49593338497288925</v>
      </c>
      <c r="L75" s="51">
        <f t="shared" si="206"/>
        <v>0.56675917360468697</v>
      </c>
      <c r="M75" s="54">
        <f t="shared" si="206"/>
        <v>0.49693749538779425</v>
      </c>
      <c r="N75" s="51">
        <f t="shared" si="206"/>
        <v>0.45537355841551064</v>
      </c>
      <c r="O75" s="51">
        <f t="shared" si="206"/>
        <v>0.44312599198851182</v>
      </c>
      <c r="P75" s="51">
        <f t="shared" si="206"/>
        <v>0.42114081736723247</v>
      </c>
      <c r="Q75" s="51">
        <f t="shared" si="206"/>
        <v>0.46233889085964291</v>
      </c>
      <c r="R75" s="54">
        <f t="shared" si="206"/>
        <v>0.44616569361366809</v>
      </c>
      <c r="S75" s="51">
        <f t="shared" si="206"/>
        <v>0.22000397957153281</v>
      </c>
      <c r="T75" s="51">
        <f t="shared" si="206"/>
        <v>0.27395475541869002</v>
      </c>
      <c r="U75" s="51">
        <f t="shared" si="206"/>
        <v>0.40703602991162474</v>
      </c>
      <c r="V75" s="51">
        <f t="shared" si="206"/>
        <v>0.42016886443411439</v>
      </c>
      <c r="W75" s="133">
        <f t="shared" si="206"/>
        <v>0.33927889443682191</v>
      </c>
      <c r="X75" s="51">
        <f t="shared" si="206"/>
        <v>0.33224333314540228</v>
      </c>
      <c r="Y75" s="51">
        <f t="shared" si="206"/>
        <v>0.311</v>
      </c>
      <c r="Z75" s="51">
        <f t="shared" si="206"/>
        <v>0.29199999999999998</v>
      </c>
      <c r="AA75" s="51">
        <f t="shared" si="206"/>
        <v>0.27299999999999991</v>
      </c>
      <c r="AB75" s="54">
        <f t="shared" si="206"/>
        <v>0.30066922205466406</v>
      </c>
      <c r="AC75" s="51">
        <f t="shared" si="206"/>
        <v>0.26800000000000007</v>
      </c>
      <c r="AD75" s="51">
        <f t="shared" si="206"/>
        <v>0.27300000000000002</v>
      </c>
      <c r="AE75" s="51">
        <f t="shared" si="206"/>
        <v>0.27600000000000002</v>
      </c>
      <c r="AF75" s="51">
        <f t="shared" si="206"/>
        <v>0.27900000000000003</v>
      </c>
      <c r="AG75" s="54">
        <f t="shared" si="206"/>
        <v>0.27444287996760963</v>
      </c>
    </row>
    <row r="76" spans="1:33" s="42" customFormat="1" outlineLevel="1" x14ac:dyDescent="0.3">
      <c r="A76" s="131"/>
      <c r="B76" s="176" t="s">
        <v>2</v>
      </c>
      <c r="C76" s="177"/>
      <c r="D76" s="51">
        <f t="shared" ref="D76:X76" si="207">-D24/D23</f>
        <v>0.26876513317191281</v>
      </c>
      <c r="E76" s="51">
        <f t="shared" si="207"/>
        <v>0.25704989154013014</v>
      </c>
      <c r="F76" s="51">
        <f t="shared" si="207"/>
        <v>0.24928999684443043</v>
      </c>
      <c r="G76" s="51">
        <f t="shared" si="207"/>
        <v>5.422753430721558E-2</v>
      </c>
      <c r="H76" s="54">
        <f t="shared" si="207"/>
        <v>0.18381530595941845</v>
      </c>
      <c r="I76" s="51">
        <f t="shared" si="207"/>
        <v>0.10093896713615023</v>
      </c>
      <c r="J76" s="51">
        <f t="shared" si="207"/>
        <v>0.13235294117647059</v>
      </c>
      <c r="K76" s="51">
        <f t="shared" si="207"/>
        <v>0.10103132161955691</v>
      </c>
      <c r="L76" s="51">
        <f t="shared" si="207"/>
        <v>0.42803537925489143</v>
      </c>
      <c r="M76" s="54">
        <f t="shared" si="207"/>
        <v>0.22632805671554823</v>
      </c>
      <c r="N76" s="51">
        <f t="shared" si="207"/>
        <v>0.11087344028520499</v>
      </c>
      <c r="O76" s="51">
        <f t="shared" si="207"/>
        <v>0.12985685071574643</v>
      </c>
      <c r="P76" s="51">
        <f t="shared" si="207"/>
        <v>0.13108930987821379</v>
      </c>
      <c r="Q76" s="51">
        <f t="shared" si="207"/>
        <v>0.13662024840045164</v>
      </c>
      <c r="R76" s="54">
        <f t="shared" si="207"/>
        <v>0.12807065967430306</v>
      </c>
      <c r="S76" s="130">
        <f t="shared" si="207"/>
        <v>0.30241240666283747</v>
      </c>
      <c r="T76" s="51">
        <f t="shared" si="207"/>
        <v>0.45860927152317882</v>
      </c>
      <c r="U76" s="51">
        <f t="shared" si="207"/>
        <v>0.16891799699822621</v>
      </c>
      <c r="V76" s="51">
        <f t="shared" si="207"/>
        <v>0.19849492856363835</v>
      </c>
      <c r="W76" s="133">
        <f t="shared" si="207"/>
        <v>0.25499758181525067</v>
      </c>
      <c r="X76" s="130">
        <f t="shared" si="207"/>
        <v>0.16362395495649207</v>
      </c>
      <c r="Y76" s="59">
        <v>0.18</v>
      </c>
      <c r="Z76" s="59">
        <v>0.18</v>
      </c>
      <c r="AA76" s="59">
        <v>0.18</v>
      </c>
      <c r="AB76" s="152">
        <f>-AB24/AB23</f>
        <v>0.17577520022078963</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0.18058708419170949</v>
      </c>
    </row>
    <row r="77" spans="1:33" ht="17.399999999999999" x14ac:dyDescent="0.45">
      <c r="A77" s="124"/>
      <c r="B77" s="171" t="s">
        <v>18</v>
      </c>
      <c r="C77" s="17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119</v>
      </c>
      <c r="T77" s="27" t="s">
        <v>125</v>
      </c>
      <c r="U77" s="27" t="s">
        <v>126</v>
      </c>
      <c r="V77" s="27" t="s">
        <v>127</v>
      </c>
      <c r="W77" s="80" t="s">
        <v>128</v>
      </c>
      <c r="X77" s="27" t="s">
        <v>129</v>
      </c>
      <c r="Y77" s="25" t="s">
        <v>106</v>
      </c>
      <c r="Z77" s="25" t="s">
        <v>107</v>
      </c>
      <c r="AA77" s="25" t="s">
        <v>108</v>
      </c>
      <c r="AB77" s="82" t="s">
        <v>109</v>
      </c>
      <c r="AC77" s="25" t="s">
        <v>110</v>
      </c>
      <c r="AD77" s="25" t="s">
        <v>111</v>
      </c>
      <c r="AE77" s="25" t="s">
        <v>112</v>
      </c>
      <c r="AF77" s="25" t="s">
        <v>113</v>
      </c>
      <c r="AG77" s="82" t="s">
        <v>114</v>
      </c>
    </row>
    <row r="78" spans="1:33" outlineLevel="1" x14ac:dyDescent="0.3">
      <c r="A78" s="124"/>
      <c r="B78" s="176" t="s">
        <v>12</v>
      </c>
      <c r="C78" s="177"/>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8">AVERAGE(T78,U78,V78,X78)</f>
        <v>1.7723909360243817E-3</v>
      </c>
      <c r="Z78" s="60">
        <f t="shared" ref="Z78:Z79" si="209">AVERAGE(U78,V78,X78,Y78)</f>
        <v>1.7638955327755751E-3</v>
      </c>
      <c r="AA78" s="60">
        <f t="shared" ref="AA78:AA79" si="210">AVERAGE(V78,X78,Y78,Z78)</f>
        <v>1.7617871042356799E-3</v>
      </c>
      <c r="AB78" s="23"/>
      <c r="AC78" s="60">
        <f t="shared" ref="AC78:AC79" si="211">AVERAGE(X78,Y78,Z78,AA78)</f>
        <v>1.6135863680311483E-3</v>
      </c>
      <c r="AD78" s="60">
        <f t="shared" ref="AD78:AD79" si="212">AVERAGE(Y78,Z78,AA78,AC78)</f>
        <v>1.7279149852666962E-3</v>
      </c>
      <c r="AE78" s="60">
        <f t="shared" ref="AE78:AE79" si="213">AVERAGE(Z78,AA78,AC78,AD78)</f>
        <v>1.7167959975772748E-3</v>
      </c>
      <c r="AF78" s="60">
        <f t="shared" ref="AF78:AF79" si="214">AVERAGE(AA78,AC78,AD78,AE78)</f>
        <v>1.7050211137776996E-3</v>
      </c>
      <c r="AG78" s="23"/>
    </row>
    <row r="79" spans="1:33" outlineLevel="1" x14ac:dyDescent="0.3">
      <c r="A79" s="124"/>
      <c r="B79" s="176" t="s">
        <v>13</v>
      </c>
      <c r="C79" s="177"/>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8"/>
        <v>2.1111956602481441E-3</v>
      </c>
      <c r="Z79" s="60">
        <f t="shared" si="209"/>
        <v>1.5794790646792983E-3</v>
      </c>
      <c r="AA79" s="60">
        <f t="shared" si="210"/>
        <v>1.534348830849127E-3</v>
      </c>
      <c r="AB79" s="23"/>
      <c r="AC79" s="60">
        <f t="shared" si="211"/>
        <v>8.114642222774816E-4</v>
      </c>
      <c r="AD79" s="60">
        <f t="shared" si="212"/>
        <v>1.5091219445135127E-3</v>
      </c>
      <c r="AE79" s="60">
        <f t="shared" si="213"/>
        <v>1.358603515579855E-3</v>
      </c>
      <c r="AF79" s="60">
        <f t="shared" si="214"/>
        <v>1.3033846283049941E-3</v>
      </c>
      <c r="AG79" s="23"/>
    </row>
    <row r="80" spans="1:33" outlineLevel="1" x14ac:dyDescent="0.3">
      <c r="A80" s="124"/>
      <c r="B80" s="176" t="s">
        <v>5</v>
      </c>
      <c r="C80" s="177"/>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32">
        <v>166.34</v>
      </c>
      <c r="T80" s="132">
        <f>((2159*180.22)+(2200*186.29)+(1800*181.21))/6159</f>
        <v>182.67754180873519</v>
      </c>
      <c r="U80" s="132">
        <f>((1980*199.28)+(1980*184.89)+(2100*185.71))/6060</f>
        <v>189.87584158415842</v>
      </c>
      <c r="V80" s="132">
        <f>((2415*184.42)+(2100*195.74)+(2205*202.02))/6720</f>
        <v>193.73250000000002</v>
      </c>
      <c r="W80" s="62"/>
      <c r="X80" s="132">
        <f>((2205*216.5)+(1995*207.57)+(2100*166.71))/6300</f>
        <v>197.07549999999998</v>
      </c>
      <c r="Y80" s="63">
        <v>240</v>
      </c>
      <c r="Z80" s="63">
        <f>Y80</f>
        <v>240</v>
      </c>
      <c r="AA80" s="63">
        <f>Z80</f>
        <v>240</v>
      </c>
      <c r="AB80" s="62"/>
      <c r="AC80" s="63">
        <f>AA80</f>
        <v>240</v>
      </c>
      <c r="AD80" s="63">
        <f>AC80</f>
        <v>240</v>
      </c>
      <c r="AE80" s="63">
        <f>AD80</f>
        <v>240</v>
      </c>
      <c r="AF80" s="63">
        <f>AE80</f>
        <v>240</v>
      </c>
      <c r="AG80" s="62"/>
    </row>
    <row r="81" spans="1:33" outlineLevel="1" x14ac:dyDescent="0.3">
      <c r="A81" s="124"/>
      <c r="B81" s="176" t="s">
        <v>6</v>
      </c>
      <c r="C81" s="177"/>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19">
        <v>521.80858000000001</v>
      </c>
      <c r="T81" s="119">
        <f>((2159*180.22)+(2200*186.29)+(1800*181.21))/1000</f>
        <v>1125.1109799999999</v>
      </c>
      <c r="U81" s="119">
        <f>((1980*199.28)+(1980*184.89)+(2100*185.71))/1000</f>
        <v>1150.6476</v>
      </c>
      <c r="V81" s="119">
        <f>((2415*184.42)+(2100*195.74)+(2205*202.02))/1000</f>
        <v>1301.8824000000002</v>
      </c>
      <c r="W81" s="30">
        <f>+SUM(S81:V81)</f>
        <v>4099.44956</v>
      </c>
      <c r="X81" s="119">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24"/>
      <c r="B82" s="182" t="s">
        <v>17</v>
      </c>
      <c r="C82" s="183"/>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5.0200173229166669</v>
      </c>
      <c r="Z82" s="66">
        <f>IF((Z81)&gt;0,(Z81/Z80),0)</f>
        <v>5.1030310494791671</v>
      </c>
      <c r="AA82" s="66">
        <f>IF((AA81)&gt;0,(AA81/AA80),0)</f>
        <v>5.1801975618489582</v>
      </c>
      <c r="AB82" s="101">
        <f>+SUM(X82:AA82)</f>
        <v>21.603245934244789</v>
      </c>
      <c r="AC82" s="66">
        <f>IF((AC81)&gt;0,(AC81/AC80),0)</f>
        <v>5.1191194523111978</v>
      </c>
      <c r="AD82" s="66">
        <f>IF((AD81)&gt;0,(AD81/AD80),0)</f>
        <v>5.1055913466389979</v>
      </c>
      <c r="AE82" s="66">
        <f>IF((AE81)&gt;0,(AE81/AE80),0)</f>
        <v>5.1269848525695805</v>
      </c>
      <c r="AF82" s="66">
        <f>IF((AF81)&gt;0,(AF81/AF80),0)</f>
        <v>5.132973303342184</v>
      </c>
      <c r="AG82" s="101">
        <f>+SUM(AC82:AF82)</f>
        <v>20.484668954861959</v>
      </c>
    </row>
    <row r="83" spans="1:33" ht="17.399999999999999" x14ac:dyDescent="0.45">
      <c r="A83" s="124"/>
      <c r="B83" s="171" t="s">
        <v>24</v>
      </c>
      <c r="C83" s="17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119</v>
      </c>
      <c r="T83" s="27" t="s">
        <v>125</v>
      </c>
      <c r="U83" s="27" t="s">
        <v>126</v>
      </c>
      <c r="V83" s="27" t="s">
        <v>127</v>
      </c>
      <c r="W83" s="80" t="s">
        <v>128</v>
      </c>
      <c r="X83" s="27" t="s">
        <v>129</v>
      </c>
      <c r="Y83" s="25" t="s">
        <v>106</v>
      </c>
      <c r="Z83" s="25" t="s">
        <v>107</v>
      </c>
      <c r="AA83" s="25" t="s">
        <v>108</v>
      </c>
      <c r="AB83" s="82" t="s">
        <v>109</v>
      </c>
      <c r="AC83" s="25" t="s">
        <v>110</v>
      </c>
      <c r="AD83" s="25" t="s">
        <v>111</v>
      </c>
      <c r="AE83" s="25" t="s">
        <v>112</v>
      </c>
      <c r="AF83" s="25" t="s">
        <v>113</v>
      </c>
      <c r="AG83" s="82" t="s">
        <v>114</v>
      </c>
    </row>
    <row r="84" spans="1:33" outlineLevel="1" x14ac:dyDescent="0.3">
      <c r="A84" s="124"/>
      <c r="B84" s="176" t="s">
        <v>95</v>
      </c>
      <c r="C84" s="177"/>
      <c r="D84" s="29"/>
      <c r="E84" s="29"/>
      <c r="F84" s="29"/>
      <c r="G84" s="29"/>
      <c r="H84" s="30"/>
      <c r="I84" s="29">
        <v>-536</v>
      </c>
      <c r="J84" s="29">
        <v>-373</v>
      </c>
      <c r="K84" s="29">
        <v>159</v>
      </c>
      <c r="L84" s="29">
        <v>348</v>
      </c>
      <c r="M84" s="30"/>
      <c r="N84" s="29">
        <v>-536</v>
      </c>
      <c r="O84" s="29">
        <v>-373</v>
      </c>
      <c r="P84" s="29">
        <v>159</v>
      </c>
      <c r="Q84" s="29">
        <v>348</v>
      </c>
      <c r="R84" s="30">
        <v>-401</v>
      </c>
      <c r="S84" s="119">
        <v>503</v>
      </c>
      <c r="T84" s="119">
        <v>574</v>
      </c>
      <c r="U84" s="119">
        <v>297</v>
      </c>
      <c r="V84" s="119">
        <v>295</v>
      </c>
      <c r="W84" s="114">
        <f t="shared" ref="W84" si="215">SUM(S84:V84)</f>
        <v>1669</v>
      </c>
      <c r="X84" s="119">
        <v>275</v>
      </c>
      <c r="Y84" s="58">
        <f>AVERAGE(X84,V84,U84,T84,)</f>
        <v>288.2</v>
      </c>
      <c r="Z84" s="58">
        <f>AVERAGE(Y84,X84,V84,U84,)</f>
        <v>231.04000000000002</v>
      </c>
      <c r="AA84" s="58">
        <f>AVERAGE(Z84,Y84,X84,V84,)</f>
        <v>217.84800000000001</v>
      </c>
      <c r="AB84" s="30">
        <f t="shared" ref="AB84" si="216">SUM(X84:AA84)</f>
        <v>1012.088</v>
      </c>
      <c r="AC84" s="58">
        <f>AVERAGE(AA84,Z84,Y84,X84,)</f>
        <v>202.41759999999999</v>
      </c>
      <c r="AD84" s="58">
        <f>AVERAGE(AC84,AA84,Z84,Y84,)</f>
        <v>187.90111999999999</v>
      </c>
      <c r="AE84" s="58">
        <f>AVERAGE(AD84,AC84,AA84,Z84,)</f>
        <v>167.84134399999999</v>
      </c>
      <c r="AF84" s="58">
        <f>AVERAGE(AE84,AD84,AC84,AA84)</f>
        <v>194.00201599999997</v>
      </c>
      <c r="AG84" s="30">
        <f t="shared" ref="AG84" si="217">SUM(AC84:AF84)</f>
        <v>752.16207999999983</v>
      </c>
    </row>
    <row r="85" spans="1:33" ht="17.399999999999999" x14ac:dyDescent="0.45">
      <c r="A85" s="124"/>
      <c r="B85" s="171" t="s">
        <v>96</v>
      </c>
      <c r="C85" s="17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119</v>
      </c>
      <c r="T85" s="27" t="s">
        <v>125</v>
      </c>
      <c r="U85" s="27" t="s">
        <v>126</v>
      </c>
      <c r="V85" s="27" t="s">
        <v>127</v>
      </c>
      <c r="W85" s="80" t="s">
        <v>128</v>
      </c>
      <c r="X85" s="27" t="s">
        <v>129</v>
      </c>
      <c r="Y85" s="25" t="s">
        <v>106</v>
      </c>
      <c r="Z85" s="25" t="s">
        <v>107</v>
      </c>
      <c r="AA85" s="25" t="s">
        <v>108</v>
      </c>
      <c r="AB85" s="82" t="s">
        <v>109</v>
      </c>
      <c r="AC85" s="25" t="s">
        <v>110</v>
      </c>
      <c r="AD85" s="25" t="s">
        <v>111</v>
      </c>
      <c r="AE85" s="25" t="s">
        <v>112</v>
      </c>
      <c r="AF85" s="25" t="s">
        <v>113</v>
      </c>
      <c r="AG85" s="82" t="s">
        <v>114</v>
      </c>
    </row>
    <row r="86" spans="1:33" outlineLevel="1" x14ac:dyDescent="0.3">
      <c r="A86" s="124"/>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19">
        <v>87</v>
      </c>
      <c r="T86" s="119">
        <v>109</v>
      </c>
      <c r="U86" s="119">
        <v>91</v>
      </c>
      <c r="V86" s="119">
        <f>377-U86-T86-S86</f>
        <v>90</v>
      </c>
      <c r="W86" s="30">
        <f>SUM(S86:V86)</f>
        <v>377</v>
      </c>
      <c r="X86" s="119">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34"/>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8">SUM(N87:Q87)</f>
        <v>3022</v>
      </c>
      <c r="S87" s="119">
        <v>723</v>
      </c>
      <c r="T87" s="119">
        <v>927</v>
      </c>
      <c r="U87" s="119">
        <v>907</v>
      </c>
      <c r="V87" s="119">
        <f>3488-U87-T87-S87</f>
        <v>931</v>
      </c>
      <c r="W87" s="30">
        <f t="shared" ref="W87:W89" si="219">SUM(S87:V87)</f>
        <v>3488</v>
      </c>
      <c r="X87" s="119">
        <v>999</v>
      </c>
      <c r="Y87" s="58">
        <f t="shared" ref="Y87:Y89" si="220">AVERAGE(T87,U87,V87,X87)</f>
        <v>941</v>
      </c>
      <c r="Z87" s="58">
        <f t="shared" ref="Z87:Z89" si="221">AVERAGE(U87,V87,X87,Y87)</f>
        <v>944.5</v>
      </c>
      <c r="AA87" s="58">
        <f t="shared" ref="AA87:AA89" si="222">AVERAGE(V87,X87,Y87,Z87)</f>
        <v>953.875</v>
      </c>
      <c r="AB87" s="30">
        <f t="shared" ref="AB87:AB89" si="223">SUM(X87:AA87)</f>
        <v>3838.375</v>
      </c>
      <c r="AC87" s="58">
        <f t="shared" ref="AC87:AC89" si="224">AVERAGE(X87,Y87,Z87,AA87)</f>
        <v>959.59375</v>
      </c>
      <c r="AD87" s="58">
        <f t="shared" ref="AD87:AD89" si="225">AVERAGE(Y87,Z87,AA87,AC87)</f>
        <v>949.7421875</v>
      </c>
      <c r="AE87" s="58">
        <f t="shared" ref="AE87:AE89" si="226">AVERAGE(Z87,AA87,AC87,AD87)</f>
        <v>951.927734375</v>
      </c>
      <c r="AF87" s="58">
        <f t="shared" ref="AF87:AF89" si="227">AVERAGE(AA87,AC87,AD87,AE87)</f>
        <v>953.78466796875</v>
      </c>
      <c r="AG87" s="30">
        <f t="shared" ref="AG87:AG89" si="228">SUM(AC87:AF87)</f>
        <v>3815.04833984375</v>
      </c>
    </row>
    <row r="88" spans="1:33" outlineLevel="1" x14ac:dyDescent="0.3">
      <c r="A88" s="124"/>
      <c r="B88" s="70" t="s">
        <v>98</v>
      </c>
      <c r="C88" s="71"/>
      <c r="D88" s="29"/>
      <c r="E88" s="29"/>
      <c r="F88" s="29"/>
      <c r="G88" s="29"/>
      <c r="H88" s="30"/>
      <c r="I88" s="29">
        <v>96</v>
      </c>
      <c r="J88" s="29">
        <v>120</v>
      </c>
      <c r="K88" s="29">
        <v>114</v>
      </c>
      <c r="L88" s="29">
        <v>106</v>
      </c>
      <c r="M88" s="30"/>
      <c r="N88" s="29">
        <v>109</v>
      </c>
      <c r="O88" s="29">
        <v>139</v>
      </c>
      <c r="P88" s="29">
        <v>133</v>
      </c>
      <c r="Q88" s="85">
        <v>130</v>
      </c>
      <c r="R88" s="30">
        <f t="shared" si="218"/>
        <v>511</v>
      </c>
      <c r="S88" s="119">
        <v>113</v>
      </c>
      <c r="T88" s="119">
        <v>160</v>
      </c>
      <c r="U88" s="119">
        <v>148</v>
      </c>
      <c r="V88" s="119">
        <f>569-U88-T88-S88</f>
        <v>148</v>
      </c>
      <c r="W88" s="30">
        <f t="shared" si="219"/>
        <v>569</v>
      </c>
      <c r="X88" s="119">
        <v>149</v>
      </c>
      <c r="Y88" s="58">
        <f t="shared" si="220"/>
        <v>151.25</v>
      </c>
      <c r="Z88" s="58">
        <f t="shared" si="221"/>
        <v>149.0625</v>
      </c>
      <c r="AA88" s="58">
        <f t="shared" si="222"/>
        <v>149.328125</v>
      </c>
      <c r="AB88" s="30">
        <f t="shared" si="223"/>
        <v>598.640625</v>
      </c>
      <c r="AC88" s="58">
        <f t="shared" si="224"/>
        <v>149.66015625</v>
      </c>
      <c r="AD88" s="58">
        <f t="shared" si="225"/>
        <v>149.8251953125</v>
      </c>
      <c r="AE88" s="58">
        <f t="shared" si="226"/>
        <v>149.468994140625</v>
      </c>
      <c r="AF88" s="58">
        <f t="shared" si="227"/>
        <v>149.57061767578125</v>
      </c>
      <c r="AG88" s="30">
        <f t="shared" si="228"/>
        <v>598.52496337890625</v>
      </c>
    </row>
    <row r="89" spans="1:33" outlineLevel="1" x14ac:dyDescent="0.3">
      <c r="A89" s="124"/>
      <c r="B89" s="76" t="s">
        <v>97</v>
      </c>
      <c r="C89" s="89"/>
      <c r="D89" s="67"/>
      <c r="E89" s="67"/>
      <c r="F89" s="67"/>
      <c r="G89" s="67"/>
      <c r="H89" s="68"/>
      <c r="I89" s="67">
        <v>67</v>
      </c>
      <c r="J89" s="67">
        <v>78</v>
      </c>
      <c r="K89" s="67">
        <v>73</v>
      </c>
      <c r="L89" s="67">
        <v>71</v>
      </c>
      <c r="M89" s="68"/>
      <c r="N89" s="67">
        <v>72</v>
      </c>
      <c r="O89" s="67">
        <v>92</v>
      </c>
      <c r="P89" s="67">
        <v>87</v>
      </c>
      <c r="Q89" s="104">
        <v>84</v>
      </c>
      <c r="R89" s="68">
        <f t="shared" si="218"/>
        <v>335</v>
      </c>
      <c r="S89" s="135">
        <v>87</v>
      </c>
      <c r="T89" s="143">
        <v>107</v>
      </c>
      <c r="U89" s="143">
        <v>103</v>
      </c>
      <c r="V89" s="148">
        <f>402-U89-T89-S89</f>
        <v>105</v>
      </c>
      <c r="W89" s="68">
        <f t="shared" si="219"/>
        <v>402</v>
      </c>
      <c r="X89" s="135">
        <v>93</v>
      </c>
      <c r="Y89" s="77">
        <f t="shared" si="220"/>
        <v>102</v>
      </c>
      <c r="Z89" s="77">
        <f t="shared" si="221"/>
        <v>100.75</v>
      </c>
      <c r="AA89" s="106">
        <f t="shared" si="222"/>
        <v>100.1875</v>
      </c>
      <c r="AB89" s="68">
        <f t="shared" si="223"/>
        <v>395.9375</v>
      </c>
      <c r="AC89" s="105">
        <f t="shared" si="224"/>
        <v>98.984375</v>
      </c>
      <c r="AD89" s="77">
        <f t="shared" si="225"/>
        <v>100.48046875</v>
      </c>
      <c r="AE89" s="77">
        <f t="shared" si="226"/>
        <v>100.1005859375</v>
      </c>
      <c r="AF89" s="106">
        <f t="shared" si="227"/>
        <v>99.938232421875</v>
      </c>
      <c r="AG89" s="68">
        <f t="shared" si="228"/>
        <v>399.503662109375</v>
      </c>
    </row>
    <row r="90" spans="1:33" x14ac:dyDescent="0.3">
      <c r="A90" s="124"/>
      <c r="B90" s="20"/>
      <c r="C90" s="20"/>
      <c r="F90" s="3"/>
      <c r="G90" s="3"/>
      <c r="H90" s="3"/>
      <c r="I90" s="138"/>
      <c r="J90" s="138"/>
      <c r="K90" s="138"/>
      <c r="L90" s="138"/>
      <c r="M90" s="84"/>
      <c r="N90" s="138"/>
      <c r="O90" s="138"/>
      <c r="P90" s="138"/>
      <c r="Q90" s="138"/>
      <c r="R90" s="138"/>
      <c r="S90" s="138"/>
      <c r="T90" s="138"/>
      <c r="U90" s="138"/>
      <c r="V90" s="138"/>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130</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196"/>
      <c r="I7" s="196"/>
      <c r="J7" s="196"/>
      <c r="K7" s="196"/>
      <c r="L7" s="196"/>
      <c r="M7" s="196"/>
      <c r="N7" s="196"/>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2020-07-25T19:57:27Z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