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086348EF-ED4F-4388-B911-5C4049D49EBB}"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78" i="3" l="1"/>
  <c r="T79" i="3"/>
  <c r="U79" i="3"/>
  <c r="V79" i="3"/>
  <c r="X79" i="3"/>
  <c r="Y79" i="3"/>
  <c r="U53" i="3"/>
  <c r="V53" i="3"/>
  <c r="X53" i="3"/>
  <c r="Z53" i="3"/>
  <c r="AA53" i="3"/>
  <c r="AA52" i="3"/>
  <c r="AF52" i="3"/>
  <c r="AA42" i="3"/>
  <c r="AE43" i="3"/>
  <c r="AF43" i="3"/>
  <c r="AF42" i="3"/>
  <c r="Z42" i="3"/>
  <c r="AE42" i="3"/>
  <c r="AF35" i="3"/>
  <c r="AA40" i="3"/>
  <c r="AD41" i="3"/>
  <c r="AE41" i="3"/>
  <c r="AF41" i="3"/>
  <c r="AF40" i="3"/>
  <c r="Z40" i="3"/>
  <c r="AE40" i="3"/>
  <c r="AA50" i="3"/>
  <c r="AF50" i="3"/>
  <c r="AF34" i="3"/>
  <c r="AA44" i="3"/>
  <c r="AF44" i="3"/>
  <c r="Z44" i="3"/>
  <c r="AE44" i="3"/>
  <c r="AA54" i="3"/>
  <c r="AF54" i="3"/>
  <c r="AF36" i="3"/>
  <c r="V47" i="3"/>
  <c r="X47" i="3"/>
  <c r="U47" i="3"/>
  <c r="Z47" i="3"/>
  <c r="AA47" i="3"/>
  <c r="AA46" i="3"/>
  <c r="AE47" i="3"/>
  <c r="AF47" i="3"/>
  <c r="AF46" i="3"/>
  <c r="Z46" i="3"/>
  <c r="AE46" i="3"/>
  <c r="V57" i="3"/>
  <c r="X57" i="3"/>
  <c r="U57" i="3"/>
  <c r="Z57" i="3"/>
  <c r="AA57" i="3"/>
  <c r="AA56" i="3"/>
  <c r="AF57" i="3"/>
  <c r="AF56" i="3"/>
  <c r="AF37" i="3"/>
  <c r="AF38" i="3"/>
  <c r="AF11" i="3"/>
  <c r="AF12" i="3"/>
  <c r="AE68" i="3"/>
  <c r="AF68" i="3"/>
  <c r="AF15" i="3"/>
  <c r="AF16" i="3"/>
  <c r="AF17" i="3"/>
  <c r="AF18" i="3"/>
  <c r="AF6" i="3"/>
  <c r="Z52" i="3"/>
  <c r="AE53" i="3"/>
  <c r="AE52" i="3"/>
  <c r="Y42" i="3"/>
  <c r="AD42" i="3"/>
  <c r="AE35" i="3"/>
  <c r="Y40" i="3"/>
  <c r="AD40" i="3"/>
  <c r="Z50" i="3"/>
  <c r="AE50" i="3"/>
  <c r="AE34" i="3"/>
  <c r="Y44" i="3"/>
  <c r="AD44" i="3"/>
  <c r="Z54" i="3"/>
  <c r="AE54" i="3"/>
  <c r="AE36" i="3"/>
  <c r="Y46" i="3"/>
  <c r="AD46" i="3"/>
  <c r="Z56" i="3"/>
  <c r="AE56" i="3"/>
  <c r="AE37" i="3"/>
  <c r="AE38" i="3"/>
  <c r="AE11" i="3"/>
  <c r="AE12" i="3"/>
  <c r="AE15" i="3"/>
  <c r="AE69" i="3"/>
  <c r="AE16" i="3"/>
  <c r="AE70" i="3"/>
  <c r="AE17" i="3"/>
  <c r="AE18" i="3"/>
  <c r="AE6" i="3"/>
  <c r="Y52" i="3"/>
  <c r="AD52" i="3"/>
  <c r="AC42" i="3"/>
  <c r="AD35" i="3"/>
  <c r="Y54" i="3"/>
  <c r="AD54" i="3"/>
  <c r="AC44" i="3"/>
  <c r="AD36" i="3"/>
  <c r="AC40" i="3"/>
  <c r="Y50" i="3"/>
  <c r="AD50" i="3"/>
  <c r="AD34" i="3"/>
  <c r="AC46" i="3"/>
  <c r="Y56" i="3"/>
  <c r="AD56" i="3"/>
  <c r="AD37" i="3"/>
  <c r="AD38" i="3"/>
  <c r="AD11" i="3"/>
  <c r="AD12" i="3"/>
  <c r="AD15" i="3"/>
  <c r="AD16" i="3"/>
  <c r="AD17" i="3"/>
  <c r="AD18" i="3"/>
  <c r="AD6" i="3"/>
  <c r="AC52" i="3"/>
  <c r="AC35" i="3"/>
  <c r="AC50" i="3"/>
  <c r="AC34" i="3"/>
  <c r="AC54" i="3"/>
  <c r="AC36" i="3"/>
  <c r="AC56" i="3"/>
  <c r="AC37" i="3"/>
  <c r="AC38" i="3"/>
  <c r="AC11" i="3"/>
  <c r="AC16" i="3"/>
  <c r="AC15" i="3"/>
  <c r="AC17" i="3"/>
  <c r="AC18" i="3"/>
  <c r="AC12" i="3"/>
  <c r="AC6" i="3"/>
  <c r="Y35" i="3"/>
  <c r="Y36" i="3"/>
  <c r="Y34" i="3"/>
  <c r="Y37" i="3"/>
  <c r="Y38" i="3"/>
  <c r="Y11" i="3"/>
  <c r="Y17" i="3"/>
  <c r="Z35" i="3"/>
  <c r="Z34" i="3"/>
  <c r="Z36" i="3"/>
  <c r="Z37" i="3"/>
  <c r="Z38" i="3"/>
  <c r="Z11" i="3"/>
  <c r="Z17" i="3"/>
  <c r="AA35" i="3"/>
  <c r="AA34" i="3"/>
  <c r="AA36" i="3"/>
  <c r="AA37" i="3"/>
  <c r="AA38" i="3"/>
  <c r="AA11" i="3"/>
  <c r="AA17" i="3"/>
  <c r="AB17" i="3"/>
  <c r="Z15" i="3"/>
  <c r="AA15" i="3"/>
  <c r="Y15" i="3"/>
  <c r="AB15" i="3"/>
  <c r="Y16" i="3"/>
  <c r="Z16" i="3"/>
  <c r="AA16" i="3"/>
  <c r="AB16" i="3"/>
  <c r="AB18" i="3"/>
  <c r="Y12" i="3"/>
  <c r="Z12" i="3"/>
  <c r="AA12" i="3"/>
  <c r="AB12" i="3"/>
  <c r="AB6" i="3"/>
  <c r="AA18" i="3"/>
  <c r="AA6" i="3"/>
  <c r="AG16" i="3"/>
  <c r="AG15" i="3"/>
  <c r="AG17" i="3"/>
  <c r="AG18" i="3"/>
  <c r="AG12" i="3"/>
  <c r="AG6" i="3"/>
  <c r="Z18" i="3"/>
  <c r="Z6" i="3"/>
  <c r="Y18" i="3"/>
  <c r="Y6" i="3"/>
  <c r="AF4" i="3"/>
  <c r="AE4" i="3"/>
  <c r="Z4" i="3"/>
  <c r="AA4" i="3"/>
  <c r="AB11" i="3"/>
  <c r="AB4" i="3"/>
  <c r="AC4" i="3"/>
  <c r="AD4" i="3"/>
  <c r="AG11" i="3"/>
  <c r="AG4" i="3"/>
  <c r="Y4" i="3"/>
  <c r="X51" i="3"/>
  <c r="M11" i="3"/>
  <c r="V20" i="3"/>
  <c r="Y20" i="3"/>
  <c r="Z20" i="3"/>
  <c r="AA20" i="3"/>
  <c r="D13" i="3"/>
  <c r="D18" i="3"/>
  <c r="D19" i="3"/>
  <c r="D21" i="3"/>
  <c r="D23" i="3"/>
  <c r="E13" i="3"/>
  <c r="E18" i="3"/>
  <c r="E19" i="3"/>
  <c r="E21" i="3"/>
  <c r="E23" i="3"/>
  <c r="F13" i="3"/>
  <c r="F18" i="3"/>
  <c r="F19" i="3"/>
  <c r="F21" i="3"/>
  <c r="F23" i="3"/>
  <c r="G13" i="3"/>
  <c r="G15" i="3"/>
  <c r="G16" i="3"/>
  <c r="G17" i="3"/>
  <c r="G18" i="3"/>
  <c r="G19" i="3"/>
  <c r="G21" i="3"/>
  <c r="G22" i="3"/>
  <c r="G23" i="3"/>
  <c r="I13" i="3"/>
  <c r="I18" i="3"/>
  <c r="I19" i="3"/>
  <c r="I21" i="3"/>
  <c r="I23" i="3"/>
  <c r="J13" i="3"/>
  <c r="J18" i="3"/>
  <c r="J19" i="3"/>
  <c r="J21" i="3"/>
  <c r="J23" i="3"/>
  <c r="K13" i="3"/>
  <c r="K18" i="3"/>
  <c r="K19" i="3"/>
  <c r="K21" i="3"/>
  <c r="K23" i="3"/>
  <c r="L13" i="3"/>
  <c r="L18" i="3"/>
  <c r="L19" i="3"/>
  <c r="L21" i="3"/>
  <c r="L23" i="3"/>
  <c r="N13" i="3"/>
  <c r="N18" i="3"/>
  <c r="N19" i="3"/>
  <c r="N21" i="3"/>
  <c r="N23" i="3"/>
  <c r="O13" i="3"/>
  <c r="O18" i="3"/>
  <c r="O19" i="3"/>
  <c r="O21" i="3"/>
  <c r="O23" i="3"/>
  <c r="P13" i="3"/>
  <c r="P18" i="3"/>
  <c r="P19" i="3"/>
  <c r="P21" i="3"/>
  <c r="P23" i="3"/>
  <c r="Q13" i="3"/>
  <c r="Q18" i="3"/>
  <c r="Q19" i="3"/>
  <c r="Q21" i="3"/>
  <c r="Q23" i="3"/>
  <c r="S13" i="3"/>
  <c r="S18" i="3"/>
  <c r="S19" i="3"/>
  <c r="S21" i="3"/>
  <c r="S23" i="3"/>
  <c r="T13" i="3"/>
  <c r="T18" i="3"/>
  <c r="T19" i="3"/>
  <c r="T21" i="3"/>
  <c r="T23" i="3"/>
  <c r="U13" i="3"/>
  <c r="U18" i="3"/>
  <c r="U19" i="3"/>
  <c r="U21" i="3"/>
  <c r="U23" i="3"/>
  <c r="V11" i="3"/>
  <c r="V12" i="3"/>
  <c r="V13" i="3"/>
  <c r="V15" i="3"/>
  <c r="V16" i="3"/>
  <c r="V17" i="3"/>
  <c r="V18" i="3"/>
  <c r="V19" i="3"/>
  <c r="V21" i="3"/>
  <c r="V22" i="3"/>
  <c r="V23" i="3"/>
  <c r="X13" i="3"/>
  <c r="X18" i="3"/>
  <c r="X19" i="3"/>
  <c r="X21" i="3"/>
  <c r="X23" i="3"/>
  <c r="T41" i="3"/>
  <c r="U41" i="3"/>
  <c r="V41" i="3"/>
  <c r="X41" i="3"/>
  <c r="T51" i="3"/>
  <c r="U51" i="3"/>
  <c r="V51" i="3"/>
  <c r="T43" i="3"/>
  <c r="U43" i="3"/>
  <c r="V43" i="3"/>
  <c r="X43" i="3"/>
  <c r="T53" i="3"/>
  <c r="T45" i="3"/>
  <c r="U45" i="3"/>
  <c r="V45" i="3"/>
  <c r="X45" i="3"/>
  <c r="T55" i="3"/>
  <c r="U55" i="3"/>
  <c r="V55" i="3"/>
  <c r="X55" i="3"/>
  <c r="T47" i="3"/>
  <c r="T57" i="3"/>
  <c r="Y13" i="3"/>
  <c r="Y19" i="3"/>
  <c r="Y21" i="3"/>
  <c r="Y22" i="3"/>
  <c r="Y23" i="3"/>
  <c r="Z79" i="3"/>
  <c r="Z13" i="3"/>
  <c r="Z19" i="3"/>
  <c r="Z21" i="3"/>
  <c r="Z22" i="3"/>
  <c r="Z23" i="3"/>
  <c r="AA79" i="3"/>
  <c r="AA13" i="3"/>
  <c r="AA19" i="3"/>
  <c r="AA21" i="3"/>
  <c r="AA22" i="3"/>
  <c r="AA23" i="3"/>
  <c r="AC79" i="3"/>
  <c r="AC13" i="3"/>
  <c r="AC19" i="3"/>
  <c r="AC20" i="3"/>
  <c r="AC21" i="3"/>
  <c r="X74" i="3"/>
  <c r="AC74" i="3"/>
  <c r="AC22" i="3"/>
  <c r="AC23" i="3"/>
  <c r="AD79" i="3"/>
  <c r="AD13" i="3"/>
  <c r="AD19" i="3"/>
  <c r="AD20" i="3"/>
  <c r="AD21" i="3"/>
  <c r="AD74" i="3"/>
  <c r="AD22" i="3"/>
  <c r="AD23" i="3"/>
  <c r="AE79" i="3"/>
  <c r="AE13" i="3"/>
  <c r="AE19" i="3"/>
  <c r="AE20" i="3"/>
  <c r="AE21" i="3"/>
  <c r="AE74" i="3"/>
  <c r="AE22" i="3"/>
  <c r="AE23" i="3"/>
  <c r="AF79" i="3"/>
  <c r="AF13" i="3"/>
  <c r="AF19" i="3"/>
  <c r="AF20" i="3"/>
  <c r="AF21" i="3"/>
  <c r="AF74" i="3"/>
  <c r="AF22" i="3"/>
  <c r="AF23" i="3"/>
  <c r="H11" i="3"/>
  <c r="H12" i="3"/>
  <c r="H13" i="3"/>
  <c r="H15" i="3"/>
  <c r="H16" i="3"/>
  <c r="H17" i="3"/>
  <c r="H18" i="3"/>
  <c r="H19" i="3"/>
  <c r="H20" i="3"/>
  <c r="H21" i="3"/>
  <c r="H22" i="3"/>
  <c r="H23" i="3"/>
  <c r="M12" i="3"/>
  <c r="M13" i="3"/>
  <c r="M15" i="3"/>
  <c r="M16" i="3"/>
  <c r="M17" i="3"/>
  <c r="M18" i="3"/>
  <c r="M19" i="3"/>
  <c r="M20" i="3"/>
  <c r="M21" i="3"/>
  <c r="M22" i="3"/>
  <c r="M23" i="3"/>
  <c r="R11" i="3"/>
  <c r="R12" i="3"/>
  <c r="R13" i="3"/>
  <c r="R15" i="3"/>
  <c r="R16" i="3"/>
  <c r="R17" i="3"/>
  <c r="R18" i="3"/>
  <c r="R19" i="3"/>
  <c r="R20" i="3"/>
  <c r="R21" i="3"/>
  <c r="R22" i="3"/>
  <c r="R23" i="3"/>
  <c r="W11" i="3"/>
  <c r="W12" i="3"/>
  <c r="W13" i="3"/>
  <c r="W15" i="3"/>
  <c r="W16" i="3"/>
  <c r="W17" i="3"/>
  <c r="W18" i="3"/>
  <c r="W19" i="3"/>
  <c r="W20" i="3"/>
  <c r="W21" i="3"/>
  <c r="W22" i="3"/>
  <c r="W23" i="3"/>
  <c r="AB13" i="3"/>
  <c r="AB19" i="3"/>
  <c r="AB20" i="3"/>
  <c r="AB21" i="3"/>
  <c r="AB22" i="3"/>
  <c r="AB23" i="3"/>
  <c r="AG13" i="3"/>
  <c r="AG19" i="3"/>
  <c r="AG20" i="3"/>
  <c r="AG21" i="3"/>
  <c r="AG22" i="3"/>
  <c r="AG23" i="3"/>
  <c r="W27" i="3"/>
  <c r="T78" i="3"/>
  <c r="T80" i="3"/>
  <c r="T77" i="3"/>
  <c r="U78" i="3"/>
  <c r="U80" i="3"/>
  <c r="U77" i="3"/>
  <c r="V78" i="3"/>
  <c r="V80" i="3"/>
  <c r="V77" i="3"/>
  <c r="X78" i="3"/>
  <c r="X80" i="3"/>
  <c r="X77" i="3"/>
  <c r="Y77" i="3"/>
  <c r="Y80" i="3"/>
  <c r="Y27" i="3"/>
  <c r="Z77" i="3"/>
  <c r="Z78" i="3"/>
  <c r="Z80" i="3"/>
  <c r="Z27" i="3"/>
  <c r="AA77" i="3"/>
  <c r="AA78" i="3"/>
  <c r="AA80" i="3"/>
  <c r="AA27" i="3"/>
  <c r="AB27" i="3"/>
  <c r="AC77" i="3"/>
  <c r="AC80" i="3"/>
  <c r="AC27" i="3"/>
  <c r="AD77" i="3"/>
  <c r="AD78" i="3"/>
  <c r="AD80" i="3"/>
  <c r="AD27" i="3"/>
  <c r="AE77" i="3"/>
  <c r="AE78" i="3"/>
  <c r="AE80" i="3"/>
  <c r="AE27" i="3"/>
  <c r="AF77" i="3"/>
  <c r="AF78" i="3"/>
  <c r="AF80" i="3"/>
  <c r="AF27" i="3"/>
  <c r="AG27" i="3"/>
  <c r="U29" i="3"/>
  <c r="V29" i="3"/>
  <c r="X29" i="3"/>
  <c r="Y29" i="3"/>
  <c r="AD82" i="3"/>
  <c r="AE82" i="3"/>
  <c r="AF82" i="3"/>
  <c r="Y82" i="3"/>
  <c r="X67" i="3"/>
  <c r="X68" i="3"/>
  <c r="X69" i="3"/>
  <c r="X70" i="3"/>
  <c r="AG71" i="3"/>
  <c r="AB71" i="3"/>
  <c r="W71" i="3"/>
  <c r="R71" i="3"/>
  <c r="M71" i="3"/>
  <c r="H71" i="3"/>
  <c r="T74" i="3"/>
  <c r="U74" i="3"/>
  <c r="V74" i="3"/>
  <c r="X76" i="3"/>
  <c r="V76" i="3"/>
  <c r="V67" i="3"/>
  <c r="V68" i="3"/>
  <c r="V69" i="3"/>
  <c r="V70" i="3"/>
  <c r="V87" i="3"/>
  <c r="V86" i="3"/>
  <c r="V85" i="3"/>
  <c r="V84" i="3"/>
  <c r="Y87" i="3"/>
  <c r="Z87" i="3"/>
  <c r="AA87" i="3"/>
  <c r="AC87" i="3"/>
  <c r="AD87" i="3"/>
  <c r="AE87" i="3"/>
  <c r="AF87" i="3"/>
  <c r="Y86" i="3"/>
  <c r="Z86" i="3"/>
  <c r="AA86" i="3"/>
  <c r="AC86" i="3"/>
  <c r="AD86" i="3"/>
  <c r="AE86" i="3"/>
  <c r="AF86" i="3"/>
  <c r="Y85" i="3"/>
  <c r="Z85" i="3"/>
  <c r="AA85" i="3"/>
  <c r="AC85" i="3"/>
  <c r="AD85" i="3"/>
  <c r="AE85" i="3"/>
  <c r="AF85" i="3"/>
  <c r="Y84" i="3"/>
  <c r="Z84" i="3"/>
  <c r="AA84" i="3"/>
  <c r="AC84" i="3"/>
  <c r="AD84" i="3"/>
  <c r="AE84" i="3"/>
  <c r="AF84" i="3"/>
  <c r="AG87" i="3"/>
  <c r="AG86" i="3"/>
  <c r="AG85" i="3"/>
  <c r="AG84" i="3"/>
  <c r="AB87" i="3"/>
  <c r="AB86" i="3"/>
  <c r="AB85" i="3"/>
  <c r="AB84" i="3"/>
  <c r="W87" i="3"/>
  <c r="W86" i="3"/>
  <c r="W85" i="3"/>
  <c r="W84" i="3"/>
  <c r="R85" i="3"/>
  <c r="R86" i="3"/>
  <c r="R87" i="3"/>
  <c r="R84" i="3"/>
  <c r="V24" i="3"/>
  <c r="U76" i="3"/>
  <c r="U68" i="3"/>
  <c r="U69" i="3"/>
  <c r="U70" i="3"/>
  <c r="U67" i="3"/>
  <c r="S51" i="3"/>
  <c r="P51" i="3"/>
  <c r="Q51" i="3"/>
  <c r="P41" i="3"/>
  <c r="Q41" i="3"/>
  <c r="S41" i="3"/>
  <c r="P43" i="3"/>
  <c r="Q43" i="3"/>
  <c r="S43" i="3"/>
  <c r="P53" i="3"/>
  <c r="Q53" i="3"/>
  <c r="S53" i="3"/>
  <c r="P45" i="3"/>
  <c r="Q45" i="3"/>
  <c r="S45" i="3"/>
  <c r="P55" i="3"/>
  <c r="Q55" i="3"/>
  <c r="S55" i="3"/>
  <c r="P47" i="3"/>
  <c r="Q47" i="3"/>
  <c r="S47" i="3"/>
  <c r="P57" i="3"/>
  <c r="Q57" i="3"/>
  <c r="S57" i="3"/>
  <c r="U38" i="3"/>
  <c r="P79" i="3"/>
  <c r="P80" i="3"/>
  <c r="P77" i="3"/>
  <c r="Q79" i="3"/>
  <c r="Q80" i="3"/>
  <c r="Q77" i="3"/>
  <c r="S80" i="3"/>
  <c r="S77" i="3"/>
  <c r="V38" i="3"/>
  <c r="X38" i="3"/>
  <c r="T76" i="3"/>
  <c r="P76" i="3"/>
  <c r="Q76" i="3"/>
  <c r="S76" i="3"/>
  <c r="T70" i="3"/>
  <c r="T69" i="3"/>
  <c r="T68" i="3"/>
  <c r="T67" i="3"/>
  <c r="O41" i="3"/>
  <c r="O51" i="3"/>
  <c r="O43" i="3"/>
  <c r="O53" i="3"/>
  <c r="O45" i="3"/>
  <c r="O55" i="3"/>
  <c r="O47" i="3"/>
  <c r="O57" i="3"/>
  <c r="T38" i="3"/>
  <c r="O79" i="3"/>
  <c r="O80" i="3"/>
  <c r="O77" i="3"/>
  <c r="T29" i="3"/>
  <c r="Y72" i="3"/>
  <c r="Z72" i="3"/>
  <c r="AA72" i="3"/>
  <c r="U64" i="3"/>
  <c r="V64" i="3"/>
  <c r="S64" i="3"/>
  <c r="T64" i="3"/>
  <c r="W64" i="3"/>
  <c r="W65" i="3"/>
  <c r="N51" i="3"/>
  <c r="AC64" i="3"/>
  <c r="AD64" i="3"/>
  <c r="AE64" i="3"/>
  <c r="AF64" i="3"/>
  <c r="AG64" i="3"/>
  <c r="AG65" i="3"/>
  <c r="AF65" i="3"/>
  <c r="AE65" i="3"/>
  <c r="AD65" i="3"/>
  <c r="AC65" i="3"/>
  <c r="X64" i="3"/>
  <c r="X65" i="3"/>
  <c r="Y64" i="3"/>
  <c r="Z64" i="3"/>
  <c r="AA64" i="3"/>
  <c r="AB64" i="3"/>
  <c r="AB65" i="3"/>
  <c r="AA65" i="3"/>
  <c r="Z65" i="3"/>
  <c r="Y65" i="3"/>
  <c r="T65" i="3"/>
  <c r="U65" i="3"/>
  <c r="V65" i="3"/>
  <c r="S65" i="3"/>
  <c r="N64" i="3"/>
  <c r="S74" i="3"/>
  <c r="S70" i="3"/>
  <c r="S69" i="3"/>
  <c r="S68" i="3"/>
  <c r="S67" i="3"/>
  <c r="N41" i="3"/>
  <c r="N43" i="3"/>
  <c r="N53" i="3"/>
  <c r="N45" i="3"/>
  <c r="N55" i="3"/>
  <c r="N47" i="3"/>
  <c r="N57" i="3"/>
  <c r="S38" i="3"/>
  <c r="N68" i="3"/>
  <c r="O68" i="3"/>
  <c r="P68" i="3"/>
  <c r="Q68" i="3"/>
  <c r="N69" i="3"/>
  <c r="O69" i="3"/>
  <c r="P69" i="3"/>
  <c r="Q69" i="3"/>
  <c r="N70" i="3"/>
  <c r="O70" i="3"/>
  <c r="P70" i="3"/>
  <c r="Q70" i="3"/>
  <c r="N79" i="3"/>
  <c r="N80" i="3"/>
  <c r="N77" i="3"/>
  <c r="S29" i="3"/>
  <c r="Q64" i="3"/>
  <c r="O64" i="3"/>
  <c r="P64" i="3"/>
  <c r="R65" i="3"/>
  <c r="Q63" i="3"/>
  <c r="P63" i="3"/>
  <c r="O63" i="3"/>
  <c r="N63" i="3"/>
  <c r="I63" i="3"/>
  <c r="F63" i="3"/>
  <c r="G63" i="3"/>
  <c r="J63" i="3"/>
  <c r="K63" i="3"/>
  <c r="L63" i="3"/>
  <c r="E63" i="3"/>
  <c r="W82" i="3"/>
  <c r="N67" i="3"/>
  <c r="O67" i="3"/>
  <c r="P67" i="3"/>
  <c r="Q67" i="3"/>
  <c r="R72" i="3"/>
  <c r="O72" i="3"/>
  <c r="Q72" i="3"/>
  <c r="P72" i="3"/>
  <c r="N72" i="3"/>
  <c r="I72" i="3"/>
  <c r="K72" i="3"/>
  <c r="L72" i="3"/>
  <c r="N74" i="3"/>
  <c r="O74" i="3"/>
  <c r="P74" i="3"/>
  <c r="Q74" i="3"/>
  <c r="Q38" i="3"/>
  <c r="Q60" i="3"/>
  <c r="P38" i="3"/>
  <c r="P60" i="3"/>
  <c r="O38" i="3"/>
  <c r="O60" i="3"/>
  <c r="N38" i="3"/>
  <c r="N60" i="3"/>
  <c r="L38" i="3"/>
  <c r="L60" i="3"/>
  <c r="K38" i="3"/>
  <c r="K60" i="3"/>
  <c r="J38" i="3"/>
  <c r="J60" i="3"/>
  <c r="I38" i="3"/>
  <c r="I60" i="3"/>
  <c r="E38" i="3"/>
  <c r="E60" i="3"/>
  <c r="F38" i="3"/>
  <c r="F60" i="3"/>
  <c r="G38" i="3"/>
  <c r="G60" i="3"/>
  <c r="D38" i="3"/>
  <c r="D60" i="3"/>
  <c r="N76" i="3"/>
  <c r="W80" i="3"/>
  <c r="R79" i="3"/>
  <c r="I79" i="3"/>
  <c r="J79" i="3"/>
  <c r="K79" i="3"/>
  <c r="L79" i="3"/>
  <c r="M79" i="3"/>
  <c r="L80" i="3"/>
  <c r="F74" i="3"/>
  <c r="G74" i="3"/>
  <c r="I74" i="3"/>
  <c r="J74" i="3"/>
  <c r="K74" i="3"/>
  <c r="L74" i="3"/>
  <c r="R74" i="3"/>
  <c r="E68" i="3"/>
  <c r="F68" i="3"/>
  <c r="G68" i="3"/>
  <c r="I68" i="3"/>
  <c r="J68" i="3"/>
  <c r="K68" i="3"/>
  <c r="L68" i="3"/>
  <c r="M68" i="3"/>
  <c r="R68" i="3"/>
  <c r="E69" i="3"/>
  <c r="F69" i="3"/>
  <c r="G69" i="3"/>
  <c r="H69" i="3"/>
  <c r="I69" i="3"/>
  <c r="J69" i="3"/>
  <c r="K69" i="3"/>
  <c r="L69" i="3"/>
  <c r="M69" i="3"/>
  <c r="R69" i="3"/>
  <c r="E70" i="3"/>
  <c r="F70" i="3"/>
  <c r="G70" i="3"/>
  <c r="H70" i="3"/>
  <c r="I70" i="3"/>
  <c r="J70" i="3"/>
  <c r="K70" i="3"/>
  <c r="L70" i="3"/>
  <c r="M70" i="3"/>
  <c r="R70" i="3"/>
  <c r="D70" i="3"/>
  <c r="D69" i="3"/>
  <c r="D68" i="3"/>
  <c r="E67" i="3"/>
  <c r="F67" i="3"/>
  <c r="G67" i="3"/>
  <c r="H67" i="3"/>
  <c r="I67" i="3"/>
  <c r="J67" i="3"/>
  <c r="K67" i="3"/>
  <c r="L67" i="3"/>
  <c r="M67" i="3"/>
  <c r="R67" i="3"/>
  <c r="D67" i="3"/>
  <c r="V48" i="3"/>
  <c r="U48" i="3"/>
  <c r="T48" i="3"/>
  <c r="S48" i="3"/>
  <c r="Q48" i="3"/>
  <c r="P48" i="3"/>
  <c r="O48" i="3"/>
  <c r="P58" i="3"/>
  <c r="N48" i="3"/>
  <c r="L48" i="3"/>
  <c r="N58" i="3"/>
  <c r="F48" i="3"/>
  <c r="G48" i="3"/>
  <c r="G58" i="3"/>
  <c r="E48" i="3"/>
  <c r="F58" i="3"/>
  <c r="D48" i="3"/>
  <c r="J48" i="3"/>
  <c r="K48" i="3"/>
  <c r="K58" i="3"/>
  <c r="L58" i="3"/>
  <c r="I48" i="3"/>
  <c r="L57" i="3"/>
  <c r="K57" i="3"/>
  <c r="J57" i="3"/>
  <c r="I57" i="3"/>
  <c r="L55" i="3"/>
  <c r="K55" i="3"/>
  <c r="J55" i="3"/>
  <c r="I55" i="3"/>
  <c r="L53" i="3"/>
  <c r="K53" i="3"/>
  <c r="J53" i="3"/>
  <c r="I53" i="3"/>
  <c r="J51" i="3"/>
  <c r="K51" i="3"/>
  <c r="L51" i="3"/>
  <c r="I51" i="3"/>
  <c r="L47" i="3"/>
  <c r="K47" i="3"/>
  <c r="J47" i="3"/>
  <c r="I47" i="3"/>
  <c r="L45" i="3"/>
  <c r="K45" i="3"/>
  <c r="J45" i="3"/>
  <c r="I45" i="3"/>
  <c r="L43" i="3"/>
  <c r="K43" i="3"/>
  <c r="J43" i="3"/>
  <c r="I43" i="3"/>
  <c r="L41" i="3"/>
  <c r="K41" i="3"/>
  <c r="J41" i="3"/>
  <c r="I41" i="3"/>
  <c r="AG82" i="3"/>
  <c r="AG24" i="3"/>
  <c r="AB82" i="3"/>
  <c r="AB24" i="3"/>
  <c r="W24" i="3"/>
  <c r="R24" i="3"/>
  <c r="R25" i="3"/>
  <c r="Q25" i="3"/>
  <c r="P25" i="3"/>
  <c r="O25" i="3"/>
  <c r="N25" i="3"/>
  <c r="M24" i="3"/>
  <c r="L25" i="3"/>
  <c r="K25" i="3"/>
  <c r="J25" i="3"/>
  <c r="I25" i="3"/>
  <c r="H24" i="3"/>
  <c r="F25" i="3"/>
  <c r="G25" i="3"/>
  <c r="K80" i="3"/>
  <c r="J80" i="3"/>
  <c r="I80" i="3"/>
  <c r="W79" i="3"/>
  <c r="P73" i="3"/>
  <c r="G73" i="3"/>
  <c r="K73" i="3"/>
  <c r="I73" i="3"/>
  <c r="J73" i="3"/>
  <c r="L73" i="3"/>
  <c r="M73" i="3"/>
  <c r="F73" i="3"/>
  <c r="N73" i="3"/>
  <c r="O73" i="3"/>
  <c r="O62" i="3"/>
  <c r="N62" i="3"/>
  <c r="L62" i="3"/>
  <c r="K62" i="3"/>
  <c r="I62" i="3"/>
  <c r="I76" i="3"/>
  <c r="J77" i="3"/>
  <c r="P62" i="3"/>
  <c r="I77" i="3"/>
  <c r="E73" i="3"/>
  <c r="L28" i="3"/>
  <c r="J76" i="3"/>
  <c r="K77" i="3"/>
  <c r="K76" i="3"/>
  <c r="J62" i="3"/>
  <c r="L29" i="3"/>
  <c r="F29" i="3"/>
  <c r="F28" i="3"/>
  <c r="O29" i="3"/>
  <c r="O28" i="3"/>
  <c r="N29" i="3"/>
  <c r="N28" i="3"/>
  <c r="M62" i="3"/>
  <c r="G28" i="3"/>
  <c r="G29" i="3"/>
  <c r="P28" i="3"/>
  <c r="P29" i="3"/>
  <c r="I28" i="3"/>
  <c r="I29" i="3"/>
  <c r="J29" i="3"/>
  <c r="J28" i="3"/>
  <c r="K29" i="3"/>
  <c r="K28" i="3"/>
  <c r="Q62" i="3"/>
  <c r="R62" i="3"/>
  <c r="R73" i="3"/>
  <c r="Q73" i="3"/>
  <c r="Q28" i="3"/>
  <c r="R29" i="3"/>
  <c r="R28" i="3"/>
  <c r="Q29" i="3"/>
  <c r="L76" i="3"/>
  <c r="M80" i="3"/>
  <c r="L77" i="3"/>
  <c r="E74" i="3"/>
  <c r="R80" i="3"/>
  <c r="M74" i="3"/>
  <c r="Q58" i="3"/>
  <c r="D73" i="3"/>
  <c r="J58" i="3"/>
  <c r="I58" i="3"/>
  <c r="E58" i="3"/>
  <c r="O58" i="3"/>
  <c r="O76" i="3"/>
  <c r="S60" i="3"/>
  <c r="S58" i="3"/>
  <c r="M72" i="3"/>
  <c r="J72" i="3"/>
  <c r="H68" i="3"/>
  <c r="E29" i="3"/>
  <c r="E25" i="3"/>
  <c r="E28" i="3"/>
  <c r="X48" i="3"/>
  <c r="AB79" i="3"/>
  <c r="D74" i="3"/>
  <c r="M29" i="3"/>
  <c r="M28" i="3"/>
  <c r="M25" i="3"/>
  <c r="U60" i="3"/>
  <c r="U58" i="3"/>
  <c r="D29" i="3"/>
  <c r="D28" i="3"/>
  <c r="D25" i="3"/>
  <c r="AB80" i="3"/>
  <c r="H73" i="3"/>
  <c r="T60" i="3"/>
  <c r="T58" i="3"/>
  <c r="V60" i="3"/>
  <c r="V58" i="3"/>
  <c r="Y48" i="3"/>
  <c r="S63" i="3"/>
  <c r="S62" i="3"/>
  <c r="S66" i="3"/>
  <c r="AA48" i="3"/>
  <c r="H74" i="3"/>
  <c r="W62" i="3"/>
  <c r="V63" i="3"/>
  <c r="V62" i="3"/>
  <c r="X58" i="3"/>
  <c r="Z48" i="3"/>
  <c r="T63" i="3"/>
  <c r="T62" i="3"/>
  <c r="U63" i="3"/>
  <c r="U62" i="3"/>
  <c r="S72" i="3"/>
  <c r="Y58" i="3"/>
  <c r="Y60" i="3"/>
  <c r="S73" i="3"/>
  <c r="U72" i="3"/>
  <c r="T72" i="3"/>
  <c r="X63" i="3"/>
  <c r="X62" i="3"/>
  <c r="V66" i="3"/>
  <c r="V73" i="3"/>
  <c r="V72" i="3"/>
  <c r="U66" i="3"/>
  <c r="AG79" i="3"/>
  <c r="T66" i="3"/>
  <c r="AG80" i="3"/>
  <c r="X60" i="3"/>
  <c r="H28" i="3"/>
  <c r="H25" i="3"/>
  <c r="H29" i="3"/>
  <c r="AA60" i="3"/>
  <c r="AA58" i="3"/>
  <c r="W72" i="3"/>
  <c r="AD48" i="3"/>
  <c r="AC48" i="3"/>
  <c r="Z58" i="3"/>
  <c r="Y63" i="3"/>
  <c r="Y62" i="3"/>
  <c r="X72" i="3"/>
  <c r="X73" i="3"/>
  <c r="S28" i="3"/>
  <c r="S25" i="3"/>
  <c r="AC60" i="3"/>
  <c r="AC58" i="3"/>
  <c r="Z63" i="3"/>
  <c r="Z62" i="3"/>
  <c r="AE48" i="3"/>
  <c r="W67" i="3"/>
  <c r="V25" i="3"/>
  <c r="T73" i="3"/>
  <c r="U73" i="3"/>
  <c r="Z60" i="3"/>
  <c r="AA63" i="3"/>
  <c r="AA62" i="3"/>
  <c r="W73" i="3"/>
  <c r="AD58" i="3"/>
  <c r="AE58" i="3"/>
  <c r="Z73" i="3"/>
  <c r="AF48" i="3"/>
  <c r="Y73" i="3"/>
  <c r="AC63" i="3"/>
  <c r="AC62" i="3"/>
  <c r="AB62" i="3"/>
  <c r="W74" i="3"/>
  <c r="AE63" i="3"/>
  <c r="AE62" i="3"/>
  <c r="AD63" i="3"/>
  <c r="AD62" i="3"/>
  <c r="AB72" i="3"/>
  <c r="U25" i="3"/>
  <c r="AC72" i="3"/>
  <c r="AA73" i="3"/>
  <c r="AD60" i="3"/>
  <c r="AE60" i="3"/>
  <c r="Z25" i="3"/>
  <c r="T28" i="3"/>
  <c r="T25" i="3"/>
  <c r="AC73" i="3"/>
  <c r="AF60" i="3"/>
  <c r="AF58" i="3"/>
  <c r="W25" i="3"/>
  <c r="AD72" i="3"/>
  <c r="AE72" i="3"/>
  <c r="X25" i="3"/>
  <c r="AB67" i="3"/>
  <c r="AD73" i="3"/>
  <c r="AA25" i="3"/>
  <c r="AE73" i="3"/>
  <c r="AB73" i="3"/>
  <c r="AF63" i="3"/>
  <c r="AF62" i="3"/>
  <c r="Y25" i="3"/>
  <c r="AC25" i="3"/>
  <c r="AG62" i="3"/>
  <c r="AF72" i="3"/>
  <c r="AB25" i="3"/>
  <c r="AB74" i="3"/>
  <c r="AG67" i="3"/>
  <c r="AE25" i="3"/>
  <c r="AF73" i="3"/>
  <c r="AG72" i="3"/>
  <c r="AG73" i="3"/>
  <c r="AG74" i="3"/>
  <c r="AD25" i="3"/>
  <c r="AG25" i="3"/>
  <c r="AF25" i="3"/>
  <c r="V28" i="3"/>
  <c r="U28" i="3"/>
  <c r="Z29" i="3"/>
  <c r="Y76" i="3"/>
  <c r="Y26" i="3"/>
  <c r="Z76" i="3"/>
  <c r="Z26" i="3"/>
  <c r="Z28" i="3"/>
  <c r="W26" i="3"/>
  <c r="W28" i="3"/>
  <c r="W29" i="3"/>
  <c r="X28" i="3"/>
  <c r="AA29" i="3"/>
  <c r="AA76" i="3"/>
  <c r="AA26" i="3"/>
  <c r="AA28" i="3"/>
  <c r="Y28" i="3"/>
  <c r="AC29" i="3"/>
  <c r="AC76" i="3"/>
  <c r="AC26" i="3"/>
  <c r="AC28" i="3"/>
  <c r="AB26" i="3"/>
  <c r="AB28" i="3"/>
  <c r="AB29" i="3"/>
  <c r="AE29" i="3"/>
  <c r="AD76" i="3"/>
  <c r="AD26" i="3"/>
  <c r="AE76" i="3"/>
  <c r="AE26" i="3"/>
  <c r="AE28" i="3"/>
  <c r="AF76" i="3"/>
  <c r="AD28" i="3"/>
  <c r="AD29" i="3"/>
  <c r="AF26" i="3"/>
  <c r="AG29" i="3"/>
  <c r="AG26" i="3"/>
  <c r="AG28" i="3"/>
  <c r="AF28" i="3"/>
  <c r="AF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7"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S62"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5"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5"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W72"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4"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4"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List>
</comments>
</file>

<file path=xl/sharedStrings.xml><?xml version="1.0" encoding="utf-8"?>
<sst xmlns="http://schemas.openxmlformats.org/spreadsheetml/2006/main" count="454" uniqueCount="172">
  <si>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</si>
  <si>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</si>
  <si>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</si>
  <si>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</si>
  <si>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</si>
  <si>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</si>
  <si>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</si>
  <si>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</si>
  <si>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</si>
  <si>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</si>
  <si>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</si>
  <si>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</si>
  <si>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</si>
  <si>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</si>
  <si>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</si>
  <si>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</si>
  <si>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</si>
  <si>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</si>
  <si>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</si>
  <si>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</si>
  <si>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</si>
  <si>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</si>
  <si>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</si>
  <si>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</si>
  <si>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</si>
  <si>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</si>
  <si>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</si>
  <si>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</si>
  <si>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</si>
  <si>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</si>
  <si>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</si>
  <si>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</si>
  <si>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</si>
  <si>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</si>
  <si>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</si>
  <si>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</si>
  <si>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</si>
  <si>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</si>
  <si>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</si>
  <si>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</si>
  <si>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</si>
  <si>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</si>
  <si>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</si>
  <si>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</si>
  <si>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</si>
  <si>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</si>
  <si>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</si>
  <si>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</si>
  <si>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</si>
  <si>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</si>
  <si>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</si>
  <si>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</si>
  <si>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</si>
  <si>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</si>
  <si>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</si>
  <si>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</si>
  <si>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</si>
  <si>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</si>
  <si>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</si>
  <si>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</si>
  <si>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</si>
  <si>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</si>
  <si>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</si>
  <si>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</si>
  <si>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</si>
  <si>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</si>
  <si>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</si>
  <si>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</si>
  <si>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</si>
  <si>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</si>
  <si>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</si>
  <si>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</si>
  <si>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</si>
  <si>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</si>
  <si>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</si>
  <si>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</si>
  <si>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</si>
  <si>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</si>
  <si>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</si>
  <si>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</si>
  <si>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</si>
  <si>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</si>
  <si>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</si>
  <si>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</si>
  <si>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</si>
  <si>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</si>
  <si>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</si>
  <si>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</si>
  <si>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</si>
  <si>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</si>
  <si>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</si>
  <si>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</si>
  <si>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</si>
  <si>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</si>
  <si>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</si>
  <si>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</si>
  <si>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</si>
  <si>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</si>
  <si>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</si>
  <si>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</si>
  <si>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</si>
  <si>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</si>
  <si>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</si>
  <si>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</si>
  <si>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</si>
  <si>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</si>
  <si>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</si>
  <si>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</si>
  <si>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</si>
  <si>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</si>
  <si>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</si>
  <si>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</si>
  <si>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</si>
  <si>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</si>
  <si>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</si>
  <si>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</si>
  <si>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</si>
  <si>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</si>
  <si>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</si>
  <si>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</si>
  <si>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</si>
  <si>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</si>
  <si>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</si>
  <si>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</si>
  <si>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</si>
  <si>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</si>
  <si>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</si>
  <si>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</si>
  <si>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</si>
  <si>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</si>
  <si>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</si>
  <si>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</si>
  <si>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</si>
  <si>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</si>
  <si>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</si>
  <si>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</si>
  <si>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</si>
  <si>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</si>
  <si>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</si>
  <si>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</si>
  <si>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</si>
  <si>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</si>
  <si>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</si>
  <si>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</si>
  <si>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</si>
  <si>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</si>
  <si>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</si>
  <si>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</si>
  <si>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</si>
  <si>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</si>
  <si>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</si>
  <si>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</si>
  <si>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</si>
  <si>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</si>
  <si>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</si>
  <si>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Asia has the most growth potential opposed to the developed countries</t>
  </si>
  <si>
    <t>MAU</t>
  </si>
  <si>
    <t>Partnership with reliance JIO can increase more MAU</t>
  </si>
  <si>
    <t>ARPU</t>
  </si>
  <si>
    <t>continual decrease in ARPU / flat growth for ARPU</t>
  </si>
  <si>
    <t>Q3 &amp; Q4 returns back to normal growth slowly</t>
  </si>
  <si>
    <t>boycott of ads &amp; decrease in demand from small business</t>
  </si>
  <si>
    <t xml:space="preserve"> travel, events, and marketing as well as from slower headcount growth</t>
  </si>
  <si>
    <t xml:space="preserve">Revenue </t>
  </si>
  <si>
    <t>Change in Revenue</t>
  </si>
  <si>
    <t>Change in Opex</t>
  </si>
  <si>
    <t>Total Opex</t>
  </si>
  <si>
    <t>Assuming stable expenditure on R&amp;D especially now focusing on SMBs</t>
  </si>
  <si>
    <t>operational expense: reduction in travel and events &amp; funds need to deal with covid</t>
  </si>
  <si>
    <t>only increase back to normal (slightly under) once the US completely reopens</t>
  </si>
  <si>
    <t>peak at March, attenuation of growth to normal for following quarters</t>
  </si>
  <si>
    <t>Earlier recovery in 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</si>
</sst>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_)\%;\(0.0\)\%;0.0_)\%;@_)_%"/>
    <numFmt numFmtId="168" formatCode="#,##0.0_)_%;\(#,##0.0\)_%;0.0_)_%;@_)_%"/>
    <numFmt numFmtId="169" formatCode="#,##0.0_);\(#,##0.0\);#,##0.0_);@_)"/>
    <numFmt numFmtId="170" formatCode="&quot;$&quot;_(#,##0.00_);&quot;$&quot;\(#,##0.00\);&quot;$&quot;_(0.00_);@_)"/>
    <numFmt numFmtId="171" formatCode="#,##0.00_);\(#,##0.00\);0.00_);@_)"/>
    <numFmt numFmtId="172" formatCode="\€_(#,##0.00_);\€\(#,##0.00\);\€_(0.00_);@_)"/>
    <numFmt numFmtId="173" formatCode="#,##0_)\x;\(#,##0\)\x;0_)\x;@_)_x"/>
    <numFmt numFmtId="174" formatCode="#,##0_)_x;\(#,##0\)_x;0_)_x;@_)_x"/>
    <numFmt numFmtId="175" formatCode="* #,##0.00_);\(#,##0.00\)"/>
    <numFmt numFmtId="176" formatCode="&quot;$&quot;#,##0;\-&quot;$&quot;#,##0"/>
    <numFmt numFmtId="177" formatCode="#,##0;\-#,##0;&quot;-&quot;"/>
    <numFmt numFmtId="178" formatCode="0.000000"/>
    <numFmt numFmtId="179" formatCode="_(* #,##0,,_);_(* \(#,##0,,\);_(* &quot;-&quot;_)"/>
    <numFmt numFmtId="180" formatCode="_(* #,##0_);[Red]_(* \(#,##0\);_(* &quot;&quot;&quot;&quot;&quot;&quot;&quot;&quot;\ \-\ &quot;&quot;&quot;&quot;&quot;&quot;&quot;&quot;_);_(@_)"/>
    <numFmt numFmtId="181" formatCode="&quot;£&quot;#,##0;[Red]\-&quot;£&quot;#,##0"/>
    <numFmt numFmtId="182" formatCode="_(* #,##0,_);[Red]_(* \(#,##0,\);_(* &quot;&quot;&quot;&quot;&quot;&quot;&quot;&quot;\ \-\ &quot;&quot;&quot;&quot;&quot;&quot;&quot;&quot;_);_(@_)"/>
    <numFmt numFmtId="183" formatCode="0.00_);[Red]\(0.00\)"/>
    <numFmt numFmtId="184" formatCode="0%;\(0%\);;"/>
    <numFmt numFmtId="185" formatCode="&quot;£&quot;#,##0.00;[Red]\-&quot;£&quot;#,##0.00"/>
    <numFmt numFmtId="186" formatCode="_(* #,##0.000_);_(* \(#,##0.000\);_(* &quot;-&quot;_);_(@_)"/>
    <numFmt numFmtId="187" formatCode="0%;\(0%\);&quot;-&quot;"/>
    <numFmt numFmtId="188" formatCode="_-&quot;£&quot;* #,##0_-;\-&quot;£&quot;* #,##0_-;_-&quot;£&quot;* &quot;-&quot;_-;_-@_-"/>
    <numFmt numFmtId="189" formatCode="_(&quot;$&quot;* #,##0,_);_(&quot;$&quot;* \(#,##0,\);_(&quot;$&quot;* &quot;-&quot;_);_(@_)"/>
    <numFmt numFmtId="190" formatCode="#,##0\ ;\(#,##0.0\)"/>
    <numFmt numFmtId="191" formatCode="0.0"/>
    <numFmt numFmtId="192" formatCode="#,##0.00;\-#,##0.00;&quot;-&quot;"/>
    <numFmt numFmtId="193" formatCode="_._.* \(#,##0\)_%;_._.* #,##0_)_%;_._.* 0_)_%;_._.@_)_%"/>
    <numFmt numFmtId="194" formatCode="_._.&quot;$&quot;* \(#,##0\)_%;_._.&quot;$&quot;* #,##0_)_%;_._.&quot;$&quot;* 0_)_%;_._.@_)_%"/>
    <numFmt numFmtId="195" formatCode="&quot;$&quot;0.00_)"/>
    <numFmt numFmtId="196" formatCode="&quot;SFr.&quot;\ #,##0.00;&quot;SFr.&quot;\ \-#,##0.00"/>
    <numFmt numFmtId="197" formatCode="#,##0;\(#,##0\)"/>
    <numFmt numFmtId="198" formatCode="_([$€-2]* #,##0.00_);_([$€-2]* \(#,##0.00\);_([$€-2]* &quot;-&quot;??_)"/>
    <numFmt numFmtId="199" formatCode="_-* #,##0\ _D_M_-;\-* #,##0\ _D_M_-;_-* &quot;-&quot;\ _D_M_-;_-@_-"/>
    <numFmt numFmtId="200" formatCode="_-* #,##0.00\ _D_M_-;\-* #,##0.00\ _D_M_-;_-* &quot;-&quot;??\ _D_M_-;_-@_-"/>
    <numFmt numFmtId="201" formatCode="_-* #,##0\ &quot;DM&quot;_-;\-* #,##0\ &quot;DM&quot;_-;_-* &quot;-&quot;\ &quot;DM&quot;_-;_-@_-"/>
    <numFmt numFmtId="202" formatCode="_-* #,##0.00\ &quot;DM&quot;_-;\-* #,##0.00\ &quot;DM&quot;_-;_-* &quot;-&quot;??\ &quot;DM&quot;_-;_-@_-"/>
    <numFmt numFmtId="203" formatCode="#,##0.0_);\(#,##0.0\)"/>
    <numFmt numFmtId="204" formatCode="#,##0.0\ ;\(#,##0.0\)"/>
    <numFmt numFmtId="205" formatCode="0%;\(0%\)"/>
    <numFmt numFmtId="206" formatCode="&quot;SFr.&quot;#,##0;[Red]&quot;SFr.&quot;\-#,##0"/>
    <numFmt numFmtId="207" formatCode="#,##0.0000000000;\-#,##0.0000000000"/>
    <numFmt numFmtId="208" formatCode="#,##0.0;\-#,##0.0"/>
    <numFmt numFmtId="209" formatCode="#,##0.000;\-#,##0.000"/>
    <numFmt numFmtId="210" formatCode="#,##0.0000;\-#,##0.0000"/>
    <numFmt numFmtId="211" formatCode="#,##0.00000;\-#,##0.00000"/>
    <numFmt numFmtId="212" formatCode="#,##0.000000;\-#,##0.000000"/>
    <numFmt numFmtId="213" formatCode="#,##0.0000000;\-#,##0.0000000"/>
    <numFmt numFmtId="214" formatCode="#,##0.00000000;\-#,##0.00000000"/>
    <numFmt numFmtId="215" formatCode="#,##0.000000000;\-#,##0.000000000"/>
    <numFmt numFmtId="216" formatCode="#,##0___);\(#,##0.00\)"/>
    <numFmt numFmtId="217" formatCode="#,##0&quot;%&quot;"/>
    <numFmt numFmtId="218" formatCode="#,##0_);[Red]\(#,##0\);&quot;-&quot;"/>
    <numFmt numFmtId="219" formatCode="_-&quot;£&quot;* #,##0.00_-;\-&quot;£&quot;* #,##0.00_-;_-&quot;£&quot;* &quot;-&quot;??_-;_-@_-"/>
    <numFmt numFmtId="220" formatCode="*-"/>
    <numFmt numFmtId="221" formatCode="#,##0;[Red]\(#,##0\)"/>
    <numFmt numFmtId="222" formatCode="_-&quot;$&quot;* #,##0_-;\-&quot;$&quot;* #,##0_-;_-&quot;$&quot;* &quot;-&quot;_-;_-@_-"/>
    <numFmt numFmtId="223" formatCode="_-&quot;$&quot;* #,##0.00_-;\-&quot;$&quot;* #,##0.00_-;_-&quot;$&quot;* &quot;-&quot;??_-;_-@_-"/>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i/>
      <sz val="9"/>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3" fontId="3" fillId="0" borderId="0" applyFont="0" applyFill="0" applyBorder="0" applyAlignment="0" applyProtection="0"/>
    <xf numFmtId="174"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5" fontId="16" fillId="0" borderId="0">
      <alignment horizontal="center"/>
    </xf>
    <xf numFmtId="37" fontId="17" fillId="0" borderId="0"/>
    <xf numFmtId="37" fontId="18" fillId="0" borderId="0"/>
    <xf numFmtId="176" fontId="19" fillId="0" borderId="2"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9" fillId="0" borderId="2"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9" fillId="0" borderId="2"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 fillId="0" borderId="0" applyAlignment="0" applyProtection="0"/>
    <xf numFmtId="176" fontId="19" fillId="0" borderId="2" applyAlignment="0" applyProtection="0"/>
    <xf numFmtId="176" fontId="1" fillId="0" borderId="0" applyAlignment="0" applyProtection="0"/>
    <xf numFmtId="176" fontId="1" fillId="0" borderId="0" applyAlignment="0" applyProtection="0"/>
    <xf numFmtId="176" fontId="1" fillId="0" borderId="0" applyAlignment="0" applyProtection="0"/>
    <xf numFmtId="176" fontId="19" fillId="0" borderId="2" applyAlignment="0" applyProtection="0"/>
    <xf numFmtId="176" fontId="19" fillId="0" borderId="2" applyAlignment="0" applyProtection="0"/>
    <xf numFmtId="176" fontId="19" fillId="0" borderId="2" applyAlignment="0" applyProtection="0"/>
    <xf numFmtId="176" fontId="19" fillId="0" borderId="2" applyAlignment="0" applyProtection="0"/>
    <xf numFmtId="176" fontId="1" fillId="0" borderId="0" applyAlignment="0" applyProtection="0"/>
    <xf numFmtId="177" fontId="20" fillId="0" borderId="0" applyFill="0" applyBorder="0" applyAlignment="0"/>
    <xf numFmtId="178" fontId="3" fillId="0" borderId="0" applyFill="0" applyBorder="0" applyAlignment="0"/>
    <xf numFmtId="179" fontId="3" fillId="0" borderId="0" applyFill="0" applyBorder="0" applyAlignment="0"/>
    <xf numFmtId="164" fontId="3" fillId="0" borderId="0" applyFill="0" applyBorder="0" applyAlignment="0"/>
    <xf numFmtId="180"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77" fontId="20"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79"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89" fontId="3" fillId="0" borderId="0"/>
    <xf numFmtId="189" fontId="3" fillId="0" borderId="0"/>
    <xf numFmtId="189" fontId="3" fillId="0" borderId="0"/>
    <xf numFmtId="189" fontId="3" fillId="0" borderId="0"/>
    <xf numFmtId="189" fontId="3" fillId="0" borderId="0"/>
    <xf numFmtId="189" fontId="3" fillId="0" borderId="0"/>
    <xf numFmtId="189" fontId="3" fillId="0" borderId="0"/>
    <xf numFmtId="189" fontId="3" fillId="0" borderId="0"/>
    <xf numFmtId="190" fontId="22" fillId="0" borderId="7"/>
    <xf numFmtId="191" fontId="1" fillId="0" borderId="0"/>
    <xf numFmtId="0" fontId="15" fillId="0" borderId="7"/>
    <xf numFmtId="191" fontId="1" fillId="0" borderId="0"/>
    <xf numFmtId="177"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2" fontId="3" fillId="0" borderId="0">
      <alignment horizontal="center"/>
    </xf>
    <xf numFmtId="193" fontId="26" fillId="0" borderId="0" applyFill="0" applyBorder="0" applyProtection="0"/>
    <xf numFmtId="194" fontId="27" fillId="0" borderId="0" applyFont="0" applyFill="0" applyBorder="0" applyAlignment="0" applyProtection="0"/>
    <xf numFmtId="195" fontId="28" fillId="0" borderId="15">
      <protection hidden="1"/>
    </xf>
    <xf numFmtId="179"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6" fontId="22" fillId="0" borderId="0" applyFont="0" applyFill="0" applyBorder="0" applyAlignment="0" applyProtection="0"/>
    <xf numFmtId="197" fontId="27" fillId="0" borderId="0" applyFont="0" applyFill="0" applyBorder="0" applyAlignment="0" applyProtection="0"/>
    <xf numFmtId="177" fontId="31" fillId="0" borderId="0" applyFill="0" applyBorder="0" applyAlignment="0"/>
    <xf numFmtId="186" fontId="3" fillId="0" borderId="0" applyFill="0" applyBorder="0" applyAlignment="0"/>
    <xf numFmtId="179" fontId="3" fillId="0" borderId="0" applyFill="0" applyBorder="0" applyAlignment="0"/>
    <xf numFmtId="164" fontId="3" fillId="0" borderId="0" applyFill="0" applyBorder="0" applyAlignment="0"/>
    <xf numFmtId="177" fontId="31"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79" fontId="3" fillId="0" borderId="0" applyFill="0" applyBorder="0" applyAlignment="0"/>
    <xf numFmtId="164" fontId="3" fillId="0" borderId="0" applyFill="0" applyBorder="0" applyAlignment="0"/>
    <xf numFmtId="195" fontId="28" fillId="0" borderId="15">
      <protection hidden="1"/>
    </xf>
    <xf numFmtId="198"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7" fontId="38" fillId="0" borderId="0" applyFill="0" applyBorder="0" applyAlignment="0"/>
    <xf numFmtId="186" fontId="3" fillId="0" borderId="0" applyFill="0" applyBorder="0" applyAlignment="0"/>
    <xf numFmtId="179" fontId="3" fillId="0" borderId="0" applyFill="0" applyBorder="0" applyAlignment="0"/>
    <xf numFmtId="164" fontId="3" fillId="0" borderId="0" applyFill="0" applyBorder="0" applyAlignment="0"/>
    <xf numFmtId="177" fontId="38"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79" fontId="3" fillId="0" borderId="0" applyFill="0" applyBorder="0" applyAlignment="0"/>
    <xf numFmtId="164" fontId="3" fillId="0" borderId="0" applyFill="0" applyBorder="0" applyAlignment="0"/>
    <xf numFmtId="199" fontId="3" fillId="0" borderId="0" applyFont="0" applyFill="0" applyBorder="0" applyAlignment="0" applyProtection="0"/>
    <xf numFmtId="200"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1" fontId="3" fillId="0" borderId="0" applyFont="0" applyFill="0" applyBorder="0" applyAlignment="0" applyProtection="0"/>
    <xf numFmtId="202"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3" fontId="16" fillId="0" borderId="7"/>
    <xf numFmtId="37" fontId="40" fillId="0" borderId="0"/>
    <xf numFmtId="204" fontId="22" fillId="0" borderId="0"/>
    <xf numFmtId="204" fontId="1" fillId="0" borderId="0"/>
    <xf numFmtId="205" fontId="3" fillId="0" borderId="0"/>
    <xf numFmtId="206"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7" fontId="3" fillId="0" borderId="0"/>
    <xf numFmtId="208" fontId="3" fillId="0" borderId="0"/>
    <xf numFmtId="39" fontId="3" fillId="0" borderId="0"/>
    <xf numFmtId="39" fontId="3" fillId="0" borderId="0"/>
    <xf numFmtId="20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9" fillId="0" borderId="0"/>
    <xf numFmtId="217" fontId="28" fillId="0" borderId="0">
      <protection hidden="1"/>
    </xf>
    <xf numFmtId="184" fontId="3" fillId="0" borderId="0" applyFont="0" applyFill="0" applyBorder="0" applyAlignment="0" applyProtection="0"/>
    <xf numFmtId="185" fontId="3" fillId="0" borderId="0" applyFont="0" applyFill="0" applyBorder="0" applyAlignment="0" applyProtection="0"/>
    <xf numFmtId="205" fontId="3" fillId="0" borderId="0" applyFont="0" applyFill="0" applyBorder="0" applyAlignment="0" applyProtection="0"/>
    <xf numFmtId="206"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3" fontId="16" fillId="0" borderId="0"/>
    <xf numFmtId="0" fontId="46" fillId="8" borderId="18" applyNumberFormat="0" applyFont="0" applyFill="0" applyAlignment="0">
      <alignment horizontal="center" vertical="center"/>
    </xf>
    <xf numFmtId="177" fontId="47" fillId="0" borderId="0" applyFill="0" applyBorder="0" applyAlignment="0"/>
    <xf numFmtId="186" fontId="3" fillId="0" borderId="0" applyFill="0" applyBorder="0" applyAlignment="0"/>
    <xf numFmtId="179" fontId="3" fillId="0" borderId="0" applyFill="0" applyBorder="0" applyAlignment="0"/>
    <xf numFmtId="164" fontId="3" fillId="0" borderId="0" applyFill="0" applyBorder="0" applyAlignment="0"/>
    <xf numFmtId="177" fontId="47"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79"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8" fontId="3"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2" fontId="3" fillId="0" borderId="0" applyFont="0" applyFill="0" applyBorder="0" applyAlignment="0" applyProtection="0"/>
    <xf numFmtId="223"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2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9"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9" borderId="6" xfId="1" applyNumberFormat="1" applyFont="1" applyFill="1" applyBorder="1" applyAlignment="1">
      <alignment horizontal="right"/>
    </xf>
    <xf numFmtId="165" fontId="61" fillId="9"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0"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6" xfId="0" applyBorder="1" applyAlignment="1">
      <alignment horizontal="left" vertical="top" wrapText="1"/>
    </xf>
    <xf numFmtId="0" fontId="2" fillId="0" borderId="5" xfId="0" applyFont="1" applyBorder="1" applyAlignment="1">
      <alignment horizontal="left" vertical="top" wrapText="1"/>
    </xf>
    <xf numFmtId="0" fontId="0" fillId="0" borderId="24"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3" xfId="0" applyBorder="1" applyAlignment="1">
      <alignment vertical="top" wrapText="1"/>
    </xf>
    <xf numFmtId="0" fontId="0" fillId="0" borderId="26"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73" fillId="0" borderId="25" xfId="0" applyFont="1" applyBorder="1" applyAlignment="1">
      <alignment vertical="top" wrapText="1"/>
    </xf>
    <xf numFmtId="0" fontId="74" fillId="0" borderId="26" xfId="0" applyFont="1" applyBorder="1" applyAlignment="1">
      <alignment horizontal="left" vertical="top" wrapText="1"/>
    </xf>
    <xf numFmtId="0" fontId="74" fillId="0" borderId="24" xfId="0" applyFont="1" applyBorder="1" applyAlignment="1">
      <alignment horizontal="left" vertical="top" wrapText="1"/>
    </xf>
    <xf numFmtId="0" fontId="2" fillId="0" borderId="26"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4" fillId="0" borderId="0" xfId="1" applyNumberFormat="1" applyFont="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0"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3" fillId="0" borderId="4" xfId="1" applyNumberFormat="1" applyFont="1" applyFill="1" applyBorder="1" applyAlignment="1">
      <alignment horizontal="right"/>
    </xf>
    <xf numFmtId="164" fontId="61" fillId="0" borderId="0" xfId="1" applyNumberFormat="1" applyFont="1" applyAlignment="1">
      <alignment horizontal="right"/>
    </xf>
    <xf numFmtId="165" fontId="61" fillId="0" borderId="0" xfId="0" applyNumberFormat="1" applyFont="1" applyAlignment="1">
      <alignment horizontal="right"/>
    </xf>
    <xf numFmtId="164" fontId="61" fillId="11" borderId="0" xfId="1" applyNumberFormat="1" applyFont="1" applyFill="1" applyAlignment="1">
      <alignment horizontal="right"/>
    </xf>
    <xf numFmtId="165" fontId="61" fillId="11" borderId="0" xfId="0" applyNumberFormat="1" applyFont="1" applyFill="1" applyAlignment="1">
      <alignment horizontal="right"/>
    </xf>
    <xf numFmtId="165" fontId="61" fillId="11" borderId="0" xfId="1" applyNumberFormat="1" applyFont="1" applyFill="1" applyAlignment="1">
      <alignment horizontal="right"/>
    </xf>
    <xf numFmtId="43" fontId="61" fillId="11" borderId="0" xfId="1" applyFont="1" applyFill="1" applyAlignment="1">
      <alignment horizontal="right"/>
    </xf>
    <xf numFmtId="1" fontId="61" fillId="11" borderId="0" xfId="0" applyNumberFormat="1" applyFont="1" applyFill="1"/>
    <xf numFmtId="0" fontId="63" fillId="0" borderId="6" xfId="0" applyFont="1" applyFill="1" applyBorder="1" applyAlignment="1">
      <alignment horizontal="left"/>
    </xf>
    <xf numFmtId="5" fontId="65" fillId="0" borderId="10" xfId="1" applyNumberFormat="1" applyFont="1" applyFill="1" applyBorder="1" applyAlignment="1">
      <alignment horizontal="right"/>
    </xf>
    <xf numFmtId="0" fontId="61" fillId="0" borderId="1" xfId="0" applyFont="1" applyBorder="1"/>
    <xf numFmtId="0" fontId="4" fillId="0" borderId="2" xfId="0" applyFont="1" applyBorder="1"/>
    <xf numFmtId="0" fontId="4" fillId="0" borderId="11" xfId="0" applyFont="1" applyBorder="1"/>
    <xf numFmtId="0" fontId="78" fillId="0" borderId="3" xfId="0" applyFont="1" applyBorder="1"/>
    <xf numFmtId="0" fontId="68" fillId="0" borderId="0" xfId="0" applyFont="1" applyBorder="1"/>
    <xf numFmtId="0" fontId="68" fillId="0" borderId="4" xfId="0" applyFont="1" applyBorder="1"/>
    <xf numFmtId="0" fontId="4" fillId="0" borderId="0" xfId="0" applyFont="1" applyBorder="1"/>
    <xf numFmtId="0" fontId="61" fillId="0" borderId="0" xfId="0" applyFont="1" applyBorder="1"/>
    <xf numFmtId="0" fontId="61" fillId="0" borderId="6" xfId="0" applyFont="1" applyBorder="1"/>
    <xf numFmtId="0" fontId="61" fillId="0" borderId="7" xfId="0" applyFont="1" applyBorder="1"/>
    <xf numFmtId="0" fontId="61" fillId="0" borderId="10" xfId="0" applyFont="1" applyBorder="1"/>
    <xf numFmtId="0" fontId="61" fillId="0" borderId="2" xfId="0" applyFont="1" applyBorder="1"/>
    <xf numFmtId="0" fontId="61" fillId="0" borderId="11" xfId="0" applyFont="1" applyBorder="1"/>
    <xf numFmtId="0" fontId="4" fillId="0" borderId="1" xfId="0" applyFont="1" applyBorder="1"/>
    <xf numFmtId="0" fontId="4" fillId="0" borderId="3" xfId="0" applyFont="1" applyBorder="1"/>
    <xf numFmtId="0" fontId="70" fillId="0" borderId="6" xfId="0" applyFont="1" applyBorder="1"/>
    <xf numFmtId="0" fontId="70" fillId="0" borderId="7" xfId="0" applyFont="1" applyBorder="1"/>
    <xf numFmtId="0" fontId="62" fillId="0" borderId="7" xfId="0" applyFont="1" applyBorder="1"/>
    <xf numFmtId="0" fontId="62" fillId="0" borderId="10" xfId="0" applyFont="1" applyBorder="1"/>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1" xfId="0" applyFont="1" applyBorder="1" applyAlignment="1">
      <alignment horizontal="left" vertical="top" wrapText="1"/>
    </xf>
    <xf numFmtId="0" fontId="61" fillId="0" borderId="22"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0" borderId="1" xfId="0" applyFont="1" applyFill="1" applyBorder="1" applyAlignment="1">
      <alignment horizontal="left"/>
    </xf>
    <xf numFmtId="0" fontId="61" fillId="0" borderId="11"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Model'!$B$48</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Model'!$T$32,'Earnings Model'!$U$32,'Earnings Model'!$V$32,'Earnings Model'!$X$32,'Earnings Model'!$Y$32,'Earnings Model'!$Z$32,'Earnings Model'!$AA$32,'Earnings Model'!$AC$32)</c:f>
              <c:strCache>
                <c:ptCount val="8"/>
                <c:pt idx="0">
                  <c:v> 2Q19 </c:v>
                </c:pt>
                <c:pt idx="1">
                  <c:v> 3Q19 </c:v>
                </c:pt>
                <c:pt idx="2">
                  <c:v> 4Q19 </c:v>
                </c:pt>
                <c:pt idx="3">
                  <c:v> 1Q20 </c:v>
                </c:pt>
                <c:pt idx="4">
                  <c:v> 2Q20E </c:v>
                </c:pt>
                <c:pt idx="5">
                  <c:v> 3Q20E </c:v>
                </c:pt>
                <c:pt idx="6">
                  <c:v> 4Q20E </c:v>
                </c:pt>
                <c:pt idx="7">
                  <c:v> 1Q21E </c:v>
                </c:pt>
              </c:strCache>
            </c:strRef>
          </c:cat>
          <c:val>
            <c:numRef>
              <c:f>('Earnings Model'!$T$48,'Earnings Model'!$U$48,'Earnings Model'!$V$48,'Earnings Model'!$X$48,'Earnings Model'!$Y$48,'Earnings Model'!$Z$48,'Earnings Model'!$AA$48,'Earnings Model'!$AC$48)</c:f>
              <c:numCache>
                <c:formatCode>_(* #,##0_);_(* \(#,##0\);_(* "-"??_);_(@_)</c:formatCode>
                <c:ptCount val="8"/>
                <c:pt idx="0">
                  <c:v>2414</c:v>
                </c:pt>
                <c:pt idx="1">
                  <c:v>2449</c:v>
                </c:pt>
                <c:pt idx="2">
                  <c:v>2497.8000000000002</c:v>
                </c:pt>
                <c:pt idx="3">
                  <c:v>2603</c:v>
                </c:pt>
                <c:pt idx="4">
                  <c:v>2643.21</c:v>
                </c:pt>
                <c:pt idx="5">
                  <c:v>2641.021506023551</c:v>
                </c:pt>
                <c:pt idx="6">
                  <c:v>2691.4430333503174</c:v>
                </c:pt>
                <c:pt idx="7">
                  <c:v>2806.13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Model'!$B$58</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Model'!$T$32,'Earnings Model'!$U$32,'Earnings Model'!$V$32,'Earnings Model'!$X$32,'Earnings Model'!$Y$32,'Earnings Model'!$Z$32,'Earnings Model'!$AA$32,'Earnings Model'!$AC$32)</c:f>
              <c:strCache>
                <c:ptCount val="8"/>
                <c:pt idx="0">
                  <c:v> 2Q19 </c:v>
                </c:pt>
                <c:pt idx="1">
                  <c:v> 3Q19 </c:v>
                </c:pt>
                <c:pt idx="2">
                  <c:v> 4Q19 </c:v>
                </c:pt>
                <c:pt idx="3">
                  <c:v> 1Q20 </c:v>
                </c:pt>
                <c:pt idx="4">
                  <c:v> 2Q20E </c:v>
                </c:pt>
                <c:pt idx="5">
                  <c:v> 3Q20E </c:v>
                </c:pt>
                <c:pt idx="6">
                  <c:v> 4Q20E </c:v>
                </c:pt>
                <c:pt idx="7">
                  <c:v> 1Q21E </c:v>
                </c:pt>
              </c:strCache>
            </c:strRef>
          </c:cat>
          <c:val>
            <c:numRef>
              <c:f>('Earnings Model'!$T$58,'Earnings Model'!$U$58,'Earnings Model'!$V$58,'Earnings Model'!$X$58,'Earnings Model'!$Y$58,'Earnings Model'!$Z$58,'Earnings Model'!$AA$58,'Earnings Model'!$AC$58)</c:f>
              <c:numCache>
                <c:formatCode>_(* #,##0.00_);_(* \(#,##0.00\);_(* "-"??_);_(@_)</c:formatCode>
                <c:ptCount val="8"/>
                <c:pt idx="0">
                  <c:v>7.0505219206680581</c:v>
                </c:pt>
                <c:pt idx="1">
                  <c:v>7.2597162245527453</c:v>
                </c:pt>
                <c:pt idx="2">
                  <c:v>8.5234899328859051</c:v>
                </c:pt>
                <c:pt idx="3">
                  <c:v>6.954595357590966</c:v>
                </c:pt>
                <c:pt idx="4">
                  <c:v>6.6032912224253311</c:v>
                </c:pt>
                <c:pt idx="5">
                  <c:v>7.168622229348987</c:v>
                </c:pt>
                <c:pt idx="6">
                  <c:v>8.7869588046318832</c:v>
                </c:pt>
                <c:pt idx="7">
                  <c:v>8.0552074706579528</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31</xdr:row>
      <xdr:rowOff>0</xdr:rowOff>
    </xdr:from>
    <xdr:to>
      <xdr:col>6</xdr:col>
      <xdr:colOff>718343</xdr:colOff>
      <xdr:row>31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B1" workbookViewId="0">
      <selection activeCell="B4" sqref="B4"/>
    </sheetView>
  </sheetViews>
  <sheetFormatPr defaultRowHeight="14.4" x14ac:dyDescent="0.3"/>
  <cols>
    <col min="1" max="1" width="1" customWidth="1"/>
    <col min="2" max="2" width="182.77734375" style="118" customWidth="1"/>
  </cols>
  <sheetData>
    <row r="2" spans="2:2" ht="21" x14ac:dyDescent="0.3">
      <c r="B2" s="123" t="s">
        <v>118</v>
      </c>
    </row>
    <row r="3" spans="2:2" ht="115.2" x14ac:dyDescent="0.3">
      <c r="B3" s="113" t="s">
        <v>151</v>
      </c>
    </row>
    <row r="4" spans="2:2" ht="43.2" x14ac:dyDescent="0.3">
      <c r="B4" s="114" t="s">
        <v>119</v>
      </c>
    </row>
    <row r="5" spans="2:2" ht="28.8" x14ac:dyDescent="0.3">
      <c r="B5" s="114" t="s">
        <v>131</v>
      </c>
    </row>
    <row r="6" spans="2:2" ht="100.8" x14ac:dyDescent="0.3">
      <c r="B6" s="114" t="s">
        <v>120</v>
      </c>
    </row>
    <row r="7" spans="2:2" ht="43.2" x14ac:dyDescent="0.3">
      <c r="B7" s="113" t="s">
        <v>139</v>
      </c>
    </row>
    <row r="8" spans="2:2" ht="28.8" x14ac:dyDescent="0.3">
      <c r="B8" s="114" t="s">
        <v>121</v>
      </c>
    </row>
    <row r="9" spans="2:2" x14ac:dyDescent="0.3">
      <c r="B9" s="114" t="s">
        <v>122</v>
      </c>
    </row>
    <row r="10" spans="2:2" ht="57.6" x14ac:dyDescent="0.3">
      <c r="B10" s="124" t="s">
        <v>123</v>
      </c>
    </row>
    <row r="11" spans="2:2" x14ac:dyDescent="0.3">
      <c r="B11" s="113" t="s">
        <v>132</v>
      </c>
    </row>
    <row r="12" spans="2:2" x14ac:dyDescent="0.3">
      <c r="B12" s="114" t="s">
        <v>124</v>
      </c>
    </row>
    <row r="13" spans="2:2" ht="43.2" x14ac:dyDescent="0.3">
      <c r="B13" s="113" t="s">
        <v>133</v>
      </c>
    </row>
    <row r="14" spans="2:2" x14ac:dyDescent="0.3">
      <c r="B14" s="125" t="s">
        <v>125</v>
      </c>
    </row>
    <row r="15" spans="2:2" x14ac:dyDescent="0.3">
      <c r="B15" s="115" t="s">
        <v>126</v>
      </c>
    </row>
    <row r="16" spans="2:2" x14ac:dyDescent="0.3">
      <c r="B16" s="115" t="s">
        <v>127</v>
      </c>
    </row>
    <row r="17" spans="2:2" ht="162" customHeight="1" x14ac:dyDescent="0.3">
      <c r="B17" s="126" t="s">
        <v>128</v>
      </c>
    </row>
    <row r="18" spans="2:2" x14ac:dyDescent="0.3">
      <c r="B18" s="116" t="s">
        <v>129</v>
      </c>
    </row>
    <row r="19" spans="2:2" x14ac:dyDescent="0.3">
      <c r="B19" s="117" t="s">
        <v>130</v>
      </c>
    </row>
    <row r="21" spans="2:2" ht="21" x14ac:dyDescent="0.3">
      <c r="B21" s="123" t="s">
        <v>134</v>
      </c>
    </row>
    <row r="22" spans="2:2" x14ac:dyDescent="0.3">
      <c r="B22" s="119" t="s">
        <v>135</v>
      </c>
    </row>
    <row r="23" spans="2:2" ht="100.8" x14ac:dyDescent="0.3">
      <c r="B23" s="120" t="s">
        <v>136</v>
      </c>
    </row>
    <row r="24" spans="2:2" ht="43.2" x14ac:dyDescent="0.3">
      <c r="B24" s="121" t="s">
        <v>137</v>
      </c>
    </row>
    <row r="25" spans="2:2" ht="172.8" x14ac:dyDescent="0.3">
      <c r="B25" s="122" t="s">
        <v>138</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88"/>
  <sheetViews>
    <sheetView showGridLines="0" tabSelected="1" zoomScaleNormal="100" workbookViewId="0">
      <pane xSplit="3" ySplit="10" topLeftCell="X11" activePane="bottomRight" state="frozen"/>
      <selection pane="topRight" activeCell="D1" sqref="D1"/>
      <selection pane="bottomLeft" activeCell="A13" sqref="A13"/>
      <selection pane="bottomRight" activeCell="B9" sqref="B9:C9"/>
    </sheetView>
  </sheetViews>
  <sheetFormatPr defaultColWidth="8.77734375" defaultRowHeight="14.4" outlineLevelRow="1" outlineLevelCol="1" x14ac:dyDescent="0.3"/>
  <cols>
    <col min="1" max="1" width="1.77734375" style="4" customWidth="1"/>
    <col min="2" max="2" width="37.77734375" style="4" customWidth="1"/>
    <col min="3" max="3" width="10.7773437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7" width="11.554687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77734375" style="4"/>
    <col min="37" max="37" width="10.44140625" style="4" bestFit="1" customWidth="1"/>
    <col min="38" max="16384" width="8.77734375" style="4"/>
  </cols>
  <sheetData>
    <row r="1" spans="1:61" hidden="1" x14ac:dyDescent="0.3">
      <c r="B1" s="127" t="s">
        <v>14</v>
      </c>
    </row>
    <row r="2" spans="1:61" hidden="1" x14ac:dyDescent="0.3">
      <c r="B2" s="210"/>
      <c r="C2" s="211"/>
      <c r="K2" s="12"/>
    </row>
    <row r="3" spans="1:61" hidden="1" x14ac:dyDescent="0.3">
      <c r="B3" s="220" t="s">
        <v>153</v>
      </c>
      <c r="C3" s="221"/>
      <c r="D3" s="13"/>
      <c r="G3" s="14"/>
      <c r="H3" s="14"/>
      <c r="X3" s="173" t="s">
        <v>163</v>
      </c>
      <c r="Y3" s="29">
        <v>17200</v>
      </c>
      <c r="Z3" s="174">
        <v>18900.000000000004</v>
      </c>
      <c r="AA3" s="174">
        <v>23500</v>
      </c>
      <c r="AB3" s="176">
        <v>77337</v>
      </c>
      <c r="AC3" s="29">
        <v>21100.000000000004</v>
      </c>
      <c r="AD3" s="29">
        <v>20875.406764227329</v>
      </c>
      <c r="AE3" s="174">
        <v>23859.599271183732</v>
      </c>
      <c r="AF3" s="174">
        <v>30764.993964588954</v>
      </c>
      <c r="AG3" s="176">
        <v>96600.000000000015</v>
      </c>
    </row>
    <row r="4" spans="1:61" hidden="1" x14ac:dyDescent="0.3">
      <c r="B4" s="222" t="s">
        <v>154</v>
      </c>
      <c r="C4" s="223"/>
      <c r="D4" s="13"/>
      <c r="G4" s="14"/>
      <c r="H4" s="14"/>
      <c r="X4" s="173" t="s">
        <v>164</v>
      </c>
      <c r="Y4" s="173">
        <f t="shared" ref="Y4:AG4" si="0">Y11-Y3</f>
        <v>121.12622199999896</v>
      </c>
      <c r="Z4" s="173">
        <f t="shared" si="0"/>
        <v>40.329719553345058</v>
      </c>
      <c r="AA4" s="173">
        <f t="shared" si="0"/>
        <v>-71.926882680741983</v>
      </c>
      <c r="AB4" s="175">
        <f t="shared" si="0"/>
        <v>89.529058872605674</v>
      </c>
      <c r="AC4" s="173">
        <f t="shared" si="0"/>
        <v>1042.0456843655884</v>
      </c>
      <c r="AD4" s="173">
        <f t="shared" si="0"/>
        <v>925.31888782526948</v>
      </c>
      <c r="AE4" s="173">
        <f t="shared" si="0"/>
        <v>413.39314997621841</v>
      </c>
      <c r="AF4" s="173">
        <f t="shared" si="0"/>
        <v>-614.03060139443187</v>
      </c>
      <c r="AG4" s="175">
        <f t="shared" si="0"/>
        <v>1766.7271207726444</v>
      </c>
      <c r="BI4" s="4" t="s">
        <v>14</v>
      </c>
    </row>
    <row r="5" spans="1:61" hidden="1" x14ac:dyDescent="0.3">
      <c r="B5" s="224"/>
      <c r="C5" s="225"/>
      <c r="D5" s="15"/>
      <c r="E5" s="13"/>
      <c r="F5" s="13"/>
      <c r="G5" s="14"/>
      <c r="H5" s="14"/>
      <c r="I5" s="14"/>
      <c r="J5" s="14"/>
      <c r="K5" s="14"/>
      <c r="L5" s="14"/>
      <c r="M5" s="13"/>
      <c r="N5" s="13"/>
      <c r="O5" s="13"/>
      <c r="P5" s="13"/>
      <c r="Q5" s="13"/>
      <c r="R5" s="13"/>
      <c r="S5" s="13"/>
      <c r="T5" s="13"/>
      <c r="U5" s="13"/>
      <c r="V5" s="13"/>
      <c r="W5" s="13"/>
      <c r="X5" s="45" t="s">
        <v>166</v>
      </c>
      <c r="Y5" s="29">
        <v>12556</v>
      </c>
      <c r="Z5" s="29">
        <v>13116.6</v>
      </c>
      <c r="AA5" s="133">
        <v>15016.5</v>
      </c>
      <c r="AB5" s="177">
        <v>52533.1</v>
      </c>
      <c r="AC5" s="29">
        <v>14432.400000000001</v>
      </c>
      <c r="AD5" s="29">
        <v>13464.637362926631</v>
      </c>
      <c r="AE5" s="29">
        <v>15389.441529913507</v>
      </c>
      <c r="AF5" s="133">
        <v>19658.831143372299</v>
      </c>
      <c r="AG5" s="179">
        <v>62945.31003621249</v>
      </c>
    </row>
    <row r="6" spans="1:61" s="138" customFormat="1" hidden="1" x14ac:dyDescent="0.3">
      <c r="B6" s="171"/>
      <c r="C6" s="172"/>
      <c r="D6" s="167"/>
      <c r="E6" s="167"/>
      <c r="F6" s="167"/>
      <c r="G6" s="152"/>
      <c r="H6" s="152"/>
      <c r="I6" s="167"/>
      <c r="J6" s="167"/>
      <c r="K6" s="167"/>
      <c r="L6" s="167"/>
      <c r="M6" s="168"/>
      <c r="N6" s="167"/>
      <c r="O6" s="167"/>
      <c r="P6" s="167"/>
      <c r="Q6" s="167"/>
      <c r="R6" s="167"/>
      <c r="S6" s="167"/>
      <c r="T6" s="169"/>
      <c r="U6" s="170"/>
      <c r="V6" s="167"/>
      <c r="W6" s="169"/>
      <c r="X6" s="142" t="s">
        <v>165</v>
      </c>
      <c r="Y6" s="142">
        <f t="shared" ref="Y6:AF6" si="1">(Y12+Y18)-Y5</f>
        <v>1.8165109499987011</v>
      </c>
      <c r="Z6" s="142">
        <f t="shared" si="1"/>
        <v>-142.47414210595707</v>
      </c>
      <c r="AA6" s="142">
        <f t="shared" si="1"/>
        <v>797.44935419049943</v>
      </c>
      <c r="AB6" s="178">
        <f t="shared" si="1"/>
        <v>656.79172303453379</v>
      </c>
      <c r="AC6" s="142">
        <f t="shared" si="1"/>
        <v>845.61152221225711</v>
      </c>
      <c r="AD6" s="142">
        <f t="shared" si="1"/>
        <v>596.83068264729627</v>
      </c>
      <c r="AE6" s="142">
        <f t="shared" si="1"/>
        <v>266.63858173466178</v>
      </c>
      <c r="AF6" s="142">
        <f t="shared" si="1"/>
        <v>-211.45977411183048</v>
      </c>
      <c r="AG6" s="178">
        <f>(AG12+AG18)-AF5</f>
        <v>44784.099905322524</v>
      </c>
    </row>
    <row r="7" spans="1:61" s="138" customFormat="1" hidden="1" x14ac:dyDescent="0.3">
      <c r="B7" s="180"/>
      <c r="C7" s="181"/>
      <c r="D7" s="167"/>
      <c r="E7" s="167"/>
      <c r="F7" s="167"/>
      <c r="G7" s="167"/>
      <c r="H7" s="142"/>
      <c r="I7" s="142"/>
      <c r="J7" s="142"/>
      <c r="K7" s="142"/>
      <c r="L7" s="142"/>
      <c r="M7" s="142"/>
      <c r="N7" s="142"/>
      <c r="O7" s="142"/>
      <c r="P7" s="142"/>
      <c r="Q7" s="142"/>
      <c r="R7" s="142"/>
      <c r="S7" s="142"/>
      <c r="T7" s="169"/>
      <c r="U7" s="170"/>
      <c r="V7" s="142"/>
      <c r="W7" s="169"/>
      <c r="X7" s="142"/>
      <c r="Y7" s="142"/>
      <c r="Z7" s="142"/>
      <c r="AA7" s="142"/>
      <c r="AB7" s="142"/>
      <c r="AC7" s="142"/>
      <c r="AD7" s="142"/>
      <c r="AE7" s="142"/>
      <c r="AF7" s="142"/>
      <c r="AG7" s="142"/>
    </row>
    <row r="8" spans="1:61" x14ac:dyDescent="0.3">
      <c r="B8" s="127" t="s">
        <v>14</v>
      </c>
      <c r="D8" s="17"/>
      <c r="E8" s="17"/>
      <c r="F8" s="17"/>
      <c r="G8" s="17"/>
      <c r="H8" s="18"/>
      <c r="I8" s="17"/>
      <c r="J8" s="17"/>
      <c r="K8" s="17"/>
      <c r="L8" s="17"/>
      <c r="M8" s="17"/>
      <c r="N8" s="17"/>
      <c r="O8" s="17"/>
      <c r="P8" s="17"/>
      <c r="Q8" s="17"/>
      <c r="R8" s="17"/>
      <c r="S8" s="110"/>
      <c r="T8" s="110"/>
      <c r="U8" s="159"/>
      <c r="V8" s="165"/>
      <c r="W8" s="166"/>
      <c r="X8" s="159"/>
      <c r="Y8" s="110"/>
      <c r="Z8" s="110"/>
      <c r="AA8" s="111"/>
      <c r="AB8" s="13"/>
      <c r="AC8" s="110"/>
      <c r="AD8" s="110"/>
      <c r="AE8" s="110"/>
      <c r="AF8" s="111"/>
      <c r="AG8" s="13"/>
    </row>
    <row r="9" spans="1:61" ht="15.6" x14ac:dyDescent="0.3">
      <c r="A9" s="203"/>
      <c r="B9" s="201" t="s">
        <v>73</v>
      </c>
      <c r="C9" s="202"/>
      <c r="D9" s="26" t="s">
        <v>44</v>
      </c>
      <c r="E9" s="26" t="s">
        <v>45</v>
      </c>
      <c r="F9" s="26" t="s">
        <v>46</v>
      </c>
      <c r="G9" s="26" t="s">
        <v>47</v>
      </c>
      <c r="H9" s="79" t="s">
        <v>47</v>
      </c>
      <c r="I9" s="26" t="s">
        <v>31</v>
      </c>
      <c r="J9" s="26" t="s">
        <v>36</v>
      </c>
      <c r="K9" s="26" t="s">
        <v>37</v>
      </c>
      <c r="L9" s="26" t="s">
        <v>38</v>
      </c>
      <c r="M9" s="79" t="s">
        <v>38</v>
      </c>
      <c r="N9" s="26" t="s">
        <v>33</v>
      </c>
      <c r="O9" s="26" t="s">
        <v>32</v>
      </c>
      <c r="P9" s="26" t="s">
        <v>34</v>
      </c>
      <c r="Q9" s="26" t="s">
        <v>35</v>
      </c>
      <c r="R9" s="79" t="s">
        <v>35</v>
      </c>
      <c r="S9" s="26" t="s">
        <v>53</v>
      </c>
      <c r="T9" s="26" t="s">
        <v>54</v>
      </c>
      <c r="U9" s="26" t="s">
        <v>55</v>
      </c>
      <c r="V9" s="26" t="s">
        <v>56</v>
      </c>
      <c r="W9" s="79" t="s">
        <v>56</v>
      </c>
      <c r="X9" s="26" t="s">
        <v>57</v>
      </c>
      <c r="Y9" s="28" t="s">
        <v>58</v>
      </c>
      <c r="Z9" s="28" t="s">
        <v>59</v>
      </c>
      <c r="AA9" s="28" t="s">
        <v>60</v>
      </c>
      <c r="AB9" s="81" t="s">
        <v>60</v>
      </c>
      <c r="AC9" s="28" t="s">
        <v>61</v>
      </c>
      <c r="AD9" s="28" t="s">
        <v>62</v>
      </c>
      <c r="AE9" s="28" t="s">
        <v>63</v>
      </c>
      <c r="AF9" s="28" t="s">
        <v>64</v>
      </c>
      <c r="AG9" s="81" t="s">
        <v>64</v>
      </c>
    </row>
    <row r="10" spans="1:61" ht="16.2" x14ac:dyDescent="0.45">
      <c r="A10" s="203"/>
      <c r="B10" s="208" t="s">
        <v>3</v>
      </c>
      <c r="C10" s="209"/>
      <c r="D10" s="27" t="s">
        <v>48</v>
      </c>
      <c r="E10" s="27" t="s">
        <v>49</v>
      </c>
      <c r="F10" s="27" t="s">
        <v>50</v>
      </c>
      <c r="G10" s="27" t="s">
        <v>51</v>
      </c>
      <c r="H10" s="80" t="s">
        <v>52</v>
      </c>
      <c r="I10" s="27" t="s">
        <v>39</v>
      </c>
      <c r="J10" s="27" t="s">
        <v>40</v>
      </c>
      <c r="K10" s="27" t="s">
        <v>41</v>
      </c>
      <c r="L10" s="27" t="s">
        <v>42</v>
      </c>
      <c r="M10" s="80" t="s">
        <v>43</v>
      </c>
      <c r="N10" s="27" t="s">
        <v>30</v>
      </c>
      <c r="O10" s="27" t="s">
        <v>29</v>
      </c>
      <c r="P10" s="27" t="s">
        <v>28</v>
      </c>
      <c r="Q10" s="27" t="s">
        <v>27</v>
      </c>
      <c r="R10" s="80" t="s">
        <v>26</v>
      </c>
      <c r="S10" s="27" t="s">
        <v>140</v>
      </c>
      <c r="T10" s="27" t="s">
        <v>146</v>
      </c>
      <c r="U10" s="27" t="s">
        <v>147</v>
      </c>
      <c r="V10" s="27" t="s">
        <v>148</v>
      </c>
      <c r="W10" s="80" t="s">
        <v>149</v>
      </c>
      <c r="X10" s="27" t="s">
        <v>150</v>
      </c>
      <c r="Y10" s="25" t="s">
        <v>105</v>
      </c>
      <c r="Z10" s="25" t="s">
        <v>106</v>
      </c>
      <c r="AA10" s="25" t="s">
        <v>107</v>
      </c>
      <c r="AB10" s="82" t="s">
        <v>108</v>
      </c>
      <c r="AC10" s="25" t="s">
        <v>109</v>
      </c>
      <c r="AD10" s="25" t="s">
        <v>110</v>
      </c>
      <c r="AE10" s="25" t="s">
        <v>111</v>
      </c>
      <c r="AF10" s="25" t="s">
        <v>112</v>
      </c>
      <c r="AG10" s="82" t="s">
        <v>113</v>
      </c>
    </row>
    <row r="11" spans="1:61" x14ac:dyDescent="0.3">
      <c r="A11" s="138"/>
      <c r="B11" s="206" t="s">
        <v>18</v>
      </c>
      <c r="C11" s="207"/>
      <c r="D11" s="29">
        <v>5382</v>
      </c>
      <c r="E11" s="29">
        <v>6436</v>
      </c>
      <c r="F11" s="29">
        <v>7011</v>
      </c>
      <c r="G11" s="29">
        <v>8809</v>
      </c>
      <c r="H11" s="30">
        <f>SUM(D11:G11)</f>
        <v>27638</v>
      </c>
      <c r="I11" s="29">
        <v>8032</v>
      </c>
      <c r="J11" s="29">
        <v>9321</v>
      </c>
      <c r="K11" s="29">
        <v>10328</v>
      </c>
      <c r="L11" s="29">
        <v>12972</v>
      </c>
      <c r="M11" s="30">
        <f>SUM(I11:L11)</f>
        <v>40653</v>
      </c>
      <c r="N11" s="29">
        <v>11966</v>
      </c>
      <c r="O11" s="29">
        <v>13231</v>
      </c>
      <c r="P11" s="29">
        <v>13727</v>
      </c>
      <c r="Q11" s="29">
        <v>16914</v>
      </c>
      <c r="R11" s="30">
        <f>SUM(N11:Q11)</f>
        <v>55838</v>
      </c>
      <c r="S11" s="133">
        <v>15077</v>
      </c>
      <c r="T11" s="133">
        <v>16886</v>
      </c>
      <c r="U11" s="133">
        <v>17652</v>
      </c>
      <c r="V11" s="133">
        <f>70697-U11-T11-S11</f>
        <v>21082</v>
      </c>
      <c r="W11" s="128">
        <f>SUM(S11:V11)</f>
        <v>70697</v>
      </c>
      <c r="X11" s="133">
        <v>17737</v>
      </c>
      <c r="Y11" s="133">
        <f t="shared" ref="Y11:AA11" si="2">+Y38</f>
        <v>17321.126221999999</v>
      </c>
      <c r="Z11" s="133">
        <f t="shared" si="2"/>
        <v>18940.329719553349</v>
      </c>
      <c r="AA11" s="133">
        <f t="shared" si="2"/>
        <v>23428.073117319258</v>
      </c>
      <c r="AB11" s="128">
        <f>SUM(X11:AA11)</f>
        <v>77426.529058872606</v>
      </c>
      <c r="AC11" s="133">
        <f t="shared" ref="AC11:AF11" si="3">+AC38</f>
        <v>22142.045684365592</v>
      </c>
      <c r="AD11" s="133">
        <f t="shared" si="3"/>
        <v>21800.725652052599</v>
      </c>
      <c r="AE11" s="133">
        <f t="shared" si="3"/>
        <v>24272.99242115995</v>
      </c>
      <c r="AF11" s="133">
        <f t="shared" si="3"/>
        <v>30150.963363194522</v>
      </c>
      <c r="AG11" s="128">
        <f>SUM(AC11:AF11)</f>
        <v>98366.727120772659</v>
      </c>
    </row>
    <row r="12" spans="1:61" ht="16.2" x14ac:dyDescent="0.45">
      <c r="A12" s="138"/>
      <c r="B12" s="70" t="s">
        <v>66</v>
      </c>
      <c r="C12" s="71"/>
      <c r="D12" s="34">
        <v>838</v>
      </c>
      <c r="E12" s="34">
        <v>916</v>
      </c>
      <c r="F12" s="34">
        <v>987</v>
      </c>
      <c r="G12" s="34">
        <v>1048</v>
      </c>
      <c r="H12" s="35">
        <f>SUM(D12:G12)</f>
        <v>3789</v>
      </c>
      <c r="I12" s="34">
        <v>1159</v>
      </c>
      <c r="J12" s="34">
        <v>1237</v>
      </c>
      <c r="K12" s="34">
        <v>1448</v>
      </c>
      <c r="L12" s="34">
        <v>1611</v>
      </c>
      <c r="M12" s="35">
        <f>SUM(I12:L12)</f>
        <v>5455</v>
      </c>
      <c r="N12" s="34">
        <v>1927</v>
      </c>
      <c r="O12" s="34">
        <v>2214</v>
      </c>
      <c r="P12" s="34">
        <v>2418</v>
      </c>
      <c r="Q12" s="34">
        <v>2796</v>
      </c>
      <c r="R12" s="35">
        <f>SUM(N12:Q12)</f>
        <v>9355</v>
      </c>
      <c r="S12" s="34">
        <v>2816</v>
      </c>
      <c r="T12" s="135">
        <v>3307</v>
      </c>
      <c r="U12" s="135">
        <v>3155</v>
      </c>
      <c r="V12" s="135">
        <f>12770-U12-T12-S12</f>
        <v>3492</v>
      </c>
      <c r="W12" s="129">
        <f>SUM(S12:V12)</f>
        <v>12770</v>
      </c>
      <c r="X12" s="135">
        <v>3459</v>
      </c>
      <c r="Y12" s="135">
        <f>+Y11*(1-Y67)</f>
        <v>3724.042137729999</v>
      </c>
      <c r="Z12" s="135">
        <f>+Z11*(1-Z67)</f>
        <v>3882.7675925084359</v>
      </c>
      <c r="AA12" s="135">
        <f>+AA11*(1-AA67)</f>
        <v>4802.754989050447</v>
      </c>
      <c r="AB12" s="129">
        <f>SUM(X12:AA12)</f>
        <v>15868.564719288881</v>
      </c>
      <c r="AC12" s="34">
        <f>+AC11*(1-AC67)</f>
        <v>4317.6989084512898</v>
      </c>
      <c r="AD12" s="34">
        <f>+AD11*(1-AD67)</f>
        <v>4033.134245629732</v>
      </c>
      <c r="AE12" s="34">
        <f>+AE11*(1-AE67)</f>
        <v>4490.5035979145923</v>
      </c>
      <c r="AF12" s="34">
        <f>+AF11*(1-AF67)</f>
        <v>5577.928222190988</v>
      </c>
      <c r="AG12" s="129">
        <f>SUM(AC12:AF12)</f>
        <v>18419.264974186601</v>
      </c>
    </row>
    <row r="13" spans="1:61" s="21" customFormat="1" x14ac:dyDescent="0.3">
      <c r="A13" s="141"/>
      <c r="B13" s="73" t="s">
        <v>65</v>
      </c>
      <c r="C13" s="74"/>
      <c r="D13" s="40">
        <f>+D11-D12</f>
        <v>4544</v>
      </c>
      <c r="E13" s="40">
        <f t="shared" ref="E13:G13" si="4">+E11-E12</f>
        <v>5520</v>
      </c>
      <c r="F13" s="40">
        <f t="shared" si="4"/>
        <v>6024</v>
      </c>
      <c r="G13" s="40">
        <f t="shared" si="4"/>
        <v>7761</v>
      </c>
      <c r="H13" s="41">
        <f>+H11-H12</f>
        <v>23849</v>
      </c>
      <c r="I13" s="40">
        <f>+I11-I12</f>
        <v>6873</v>
      </c>
      <c r="J13" s="40">
        <f t="shared" ref="J13" si="5">+J11-J12</f>
        <v>8084</v>
      </c>
      <c r="K13" s="40">
        <f t="shared" ref="K13" si="6">+K11-K12</f>
        <v>8880</v>
      </c>
      <c r="L13" s="40">
        <f t="shared" ref="L13" si="7">+L11-L12</f>
        <v>11361</v>
      </c>
      <c r="M13" s="41">
        <f>+M11-M12</f>
        <v>35198</v>
      </c>
      <c r="N13" s="40">
        <f>+N11-N12</f>
        <v>10039</v>
      </c>
      <c r="O13" s="40">
        <f t="shared" ref="O13" si="8">+O11-O12</f>
        <v>11017</v>
      </c>
      <c r="P13" s="40">
        <f t="shared" ref="P13" si="9">+P11-P12</f>
        <v>11309</v>
      </c>
      <c r="Q13" s="40">
        <f t="shared" ref="Q13" si="10">+Q11-Q12</f>
        <v>14118</v>
      </c>
      <c r="R13" s="41">
        <f>+R11-R12</f>
        <v>46483</v>
      </c>
      <c r="S13" s="40">
        <f>+S11-S12</f>
        <v>12261</v>
      </c>
      <c r="T13" s="134">
        <f t="shared" ref="T13" si="11">+T11-T12</f>
        <v>13579</v>
      </c>
      <c r="U13" s="40">
        <f t="shared" ref="U13" si="12">+U11-U12</f>
        <v>14497</v>
      </c>
      <c r="V13" s="40">
        <f t="shared" ref="V13" si="13">+V11-V12</f>
        <v>17590</v>
      </c>
      <c r="W13" s="41">
        <f>+W11-W12</f>
        <v>57927</v>
      </c>
      <c r="X13" s="40">
        <f>+X11-X12</f>
        <v>14278</v>
      </c>
      <c r="Y13" s="40">
        <f t="shared" ref="Y13" si="14">+Y11-Y12</f>
        <v>13597.08408427</v>
      </c>
      <c r="Z13" s="40">
        <f t="shared" ref="Z13" si="15">+Z11-Z12</f>
        <v>15057.562127044912</v>
      </c>
      <c r="AA13" s="40">
        <f t="shared" ref="AA13" si="16">+AA11-AA12</f>
        <v>18625.318128268809</v>
      </c>
      <c r="AB13" s="130">
        <f>+AB11-AB12</f>
        <v>61557.964339583727</v>
      </c>
      <c r="AC13" s="40">
        <f>+AC11-AC12</f>
        <v>17824.346775914302</v>
      </c>
      <c r="AD13" s="40">
        <f t="shared" ref="AD13" si="17">+AD11-AD12</f>
        <v>17767.591406422867</v>
      </c>
      <c r="AE13" s="40">
        <f t="shared" ref="AE13" si="18">+AE11-AE12</f>
        <v>19782.48882324536</v>
      </c>
      <c r="AF13" s="40">
        <f t="shared" ref="AF13" si="19">+AF11-AF12</f>
        <v>24573.035141003533</v>
      </c>
      <c r="AG13" s="130">
        <f>+AG11-AG12</f>
        <v>79947.462146586055</v>
      </c>
    </row>
    <row r="14" spans="1:61" x14ac:dyDescent="0.3">
      <c r="A14" s="138"/>
      <c r="B14" s="31" t="s">
        <v>20</v>
      </c>
      <c r="C14" s="71"/>
      <c r="D14" s="14"/>
      <c r="E14" s="14"/>
      <c r="F14" s="14"/>
      <c r="G14" s="14"/>
      <c r="H14" s="30"/>
      <c r="I14" s="14"/>
      <c r="J14" s="14"/>
      <c r="K14" s="14"/>
      <c r="L14" s="14"/>
      <c r="M14" s="30"/>
      <c r="N14" s="14"/>
      <c r="O14" s="14"/>
      <c r="P14" s="14"/>
      <c r="Q14" s="14"/>
      <c r="R14" s="30"/>
      <c r="S14" s="14"/>
      <c r="T14" s="152"/>
      <c r="U14" s="14"/>
      <c r="V14" s="14"/>
      <c r="W14" s="30"/>
      <c r="X14" s="14"/>
      <c r="Y14" s="14"/>
      <c r="Z14" s="14"/>
      <c r="AA14" s="14"/>
      <c r="AB14" s="128"/>
      <c r="AC14" s="14"/>
      <c r="AD14" s="14"/>
      <c r="AE14" s="14"/>
      <c r="AF14" s="14"/>
      <c r="AG14" s="128"/>
    </row>
    <row r="15" spans="1:61" x14ac:dyDescent="0.3">
      <c r="A15" s="138"/>
      <c r="B15" s="75" t="s">
        <v>67</v>
      </c>
      <c r="C15" s="32"/>
      <c r="D15" s="29">
        <v>1343</v>
      </c>
      <c r="E15" s="29">
        <v>1463</v>
      </c>
      <c r="F15" s="29">
        <v>1539</v>
      </c>
      <c r="G15" s="29">
        <f>5919-F15-E15-D15</f>
        <v>1574</v>
      </c>
      <c r="H15" s="30">
        <f t="shared" ref="H15:H17" si="20">SUM(D15:G15)</f>
        <v>5919</v>
      </c>
      <c r="I15" s="29">
        <v>1834</v>
      </c>
      <c r="J15" s="29">
        <v>1919</v>
      </c>
      <c r="K15" s="29">
        <v>2052</v>
      </c>
      <c r="L15" s="29">
        <v>1949</v>
      </c>
      <c r="M15" s="30">
        <f t="shared" ref="M15:M17" si="21">SUM(I15:L15)</f>
        <v>7754</v>
      </c>
      <c r="N15" s="29">
        <v>2238</v>
      </c>
      <c r="O15" s="29">
        <v>2523</v>
      </c>
      <c r="P15" s="29">
        <v>2657</v>
      </c>
      <c r="Q15" s="29">
        <v>2855</v>
      </c>
      <c r="R15" s="30">
        <f t="shared" ref="R15:R17" si="22">SUM(N15:Q15)</f>
        <v>10273</v>
      </c>
      <c r="S15" s="29">
        <v>2860</v>
      </c>
      <c r="T15" s="133">
        <v>3315</v>
      </c>
      <c r="U15" s="29">
        <v>3548</v>
      </c>
      <c r="V15" s="29">
        <f>13600-U15-T15-S15</f>
        <v>3877</v>
      </c>
      <c r="W15" s="30">
        <f t="shared" ref="W15:W17" si="23">SUM(S15:V15)</f>
        <v>13600</v>
      </c>
      <c r="X15" s="29">
        <v>4015</v>
      </c>
      <c r="Y15" s="29">
        <f>+Y11*Y68</f>
        <v>3983.8590310599998</v>
      </c>
      <c r="Z15" s="29">
        <f>+Z11*Z68</f>
        <v>4166.8725383017363</v>
      </c>
      <c r="AA15" s="29">
        <f>+AA11*AA68</f>
        <v>5154.1760858102371</v>
      </c>
      <c r="AB15" s="128">
        <f t="shared" ref="AB15:AB17" si="24">SUM(X15:AA15)</f>
        <v>17319.90765517197</v>
      </c>
      <c r="AC15" s="29">
        <f>+AC11*AC68</f>
        <v>5203.3807358259137</v>
      </c>
      <c r="AD15" s="29">
        <f>+AD11*AD68</f>
        <v>4796.1596434515714</v>
      </c>
      <c r="AE15" s="29">
        <f>+AE11*AE68</f>
        <v>5340.0583326551887</v>
      </c>
      <c r="AF15" s="29">
        <f>+AF11*AF68</f>
        <v>6633.2119399027952</v>
      </c>
      <c r="AG15" s="128">
        <f t="shared" ref="AG15:AG17" si="25">SUM(AC15:AF15)</f>
        <v>21972.810651835469</v>
      </c>
    </row>
    <row r="16" spans="1:61" x14ac:dyDescent="0.3">
      <c r="A16" s="138"/>
      <c r="B16" s="75" t="s">
        <v>68</v>
      </c>
      <c r="C16" s="32"/>
      <c r="D16" s="29">
        <v>826</v>
      </c>
      <c r="E16" s="29">
        <v>899</v>
      </c>
      <c r="F16" s="29">
        <v>925</v>
      </c>
      <c r="G16" s="29">
        <f>3772-F16-E16-D16</f>
        <v>1122</v>
      </c>
      <c r="H16" s="30">
        <f t="shared" si="20"/>
        <v>3772</v>
      </c>
      <c r="I16" s="29">
        <v>1057</v>
      </c>
      <c r="J16" s="29">
        <v>1124</v>
      </c>
      <c r="K16" s="29">
        <v>1170</v>
      </c>
      <c r="L16" s="29">
        <v>1374</v>
      </c>
      <c r="M16" s="30">
        <f t="shared" si="21"/>
        <v>4725</v>
      </c>
      <c r="N16" s="29">
        <v>1595</v>
      </c>
      <c r="O16" s="29">
        <v>1855</v>
      </c>
      <c r="P16" s="29">
        <v>1928</v>
      </c>
      <c r="Q16" s="29">
        <v>2467</v>
      </c>
      <c r="R16" s="30">
        <f t="shared" si="22"/>
        <v>7845</v>
      </c>
      <c r="S16" s="29">
        <v>2020</v>
      </c>
      <c r="T16" s="133">
        <v>2414</v>
      </c>
      <c r="U16" s="29">
        <v>2416</v>
      </c>
      <c r="V16" s="29">
        <f>9876-U16-T16-S16</f>
        <v>3026</v>
      </c>
      <c r="W16" s="30">
        <f t="shared" si="23"/>
        <v>9876</v>
      </c>
      <c r="X16" s="29">
        <v>2787</v>
      </c>
      <c r="Y16" s="29">
        <f>+Y11*Y69</f>
        <v>3117.8027199599996</v>
      </c>
      <c r="Z16" s="29">
        <f>+Z11*Z69</f>
        <v>3409.2593495196024</v>
      </c>
      <c r="AA16" s="29">
        <f>+AA11*AA69</f>
        <v>4217.0531611174665</v>
      </c>
      <c r="AB16" s="128">
        <f t="shared" si="24"/>
        <v>13531.115230597068</v>
      </c>
      <c r="AC16" s="29">
        <f>+AC11*AC69</f>
        <v>3764.147766342151</v>
      </c>
      <c r="AD16" s="29">
        <f>+AD11*AD69</f>
        <v>3488.116104328416</v>
      </c>
      <c r="AE16" s="29">
        <f>+AE11*AE69</f>
        <v>3883.6787873855919</v>
      </c>
      <c r="AF16" s="29">
        <f>+AF11*AF69</f>
        <v>4824.1541381111238</v>
      </c>
      <c r="AG16" s="128">
        <f t="shared" si="25"/>
        <v>15960.096796167283</v>
      </c>
    </row>
    <row r="17" spans="1:33" ht="16.2" x14ac:dyDescent="0.45">
      <c r="A17" s="138"/>
      <c r="B17" s="75" t="s">
        <v>69</v>
      </c>
      <c r="C17" s="32"/>
      <c r="D17" s="34">
        <v>366</v>
      </c>
      <c r="E17" s="34">
        <v>412</v>
      </c>
      <c r="F17" s="34">
        <v>438</v>
      </c>
      <c r="G17" s="34">
        <f>1731-F17-E17-D17</f>
        <v>515</v>
      </c>
      <c r="H17" s="35">
        <f t="shared" si="20"/>
        <v>1731</v>
      </c>
      <c r="I17" s="34">
        <v>655</v>
      </c>
      <c r="J17" s="34">
        <v>640</v>
      </c>
      <c r="K17" s="34">
        <v>536</v>
      </c>
      <c r="L17" s="34">
        <v>686</v>
      </c>
      <c r="M17" s="35">
        <f t="shared" si="21"/>
        <v>2517</v>
      </c>
      <c r="N17" s="34">
        <v>757</v>
      </c>
      <c r="O17" s="34">
        <v>776</v>
      </c>
      <c r="P17" s="34">
        <v>943</v>
      </c>
      <c r="Q17" s="34">
        <v>976</v>
      </c>
      <c r="R17" s="35">
        <f t="shared" si="22"/>
        <v>3452</v>
      </c>
      <c r="S17" s="135">
        <v>4064</v>
      </c>
      <c r="T17" s="135">
        <v>3224</v>
      </c>
      <c r="U17" s="34">
        <v>1348</v>
      </c>
      <c r="V17" s="34">
        <f>10465-U17-T17-S17</f>
        <v>1829</v>
      </c>
      <c r="W17" s="35">
        <f t="shared" si="23"/>
        <v>10465</v>
      </c>
      <c r="X17" s="34">
        <v>1583</v>
      </c>
      <c r="Y17" s="34">
        <f>Y11*Y70</f>
        <v>1732.1126222</v>
      </c>
      <c r="Z17" s="34">
        <f>Z11*Z70</f>
        <v>1515.226377564268</v>
      </c>
      <c r="AA17" s="34">
        <f>AA11*AA70</f>
        <v>1639.9651182123482</v>
      </c>
      <c r="AB17" s="129">
        <f t="shared" si="24"/>
        <v>6470.304117976616</v>
      </c>
      <c r="AC17" s="34">
        <f>AC11*AC70</f>
        <v>1992.7841115929032</v>
      </c>
      <c r="AD17" s="34">
        <f>AD11*AD70</f>
        <v>1744.058052164208</v>
      </c>
      <c r="AE17" s="34">
        <f>AE11*AE70</f>
        <v>1941.839393692796</v>
      </c>
      <c r="AF17" s="34">
        <f>AF11*AF70</f>
        <v>2412.0770690555619</v>
      </c>
      <c r="AG17" s="129">
        <f t="shared" si="25"/>
        <v>8090.7586265054688</v>
      </c>
    </row>
    <row r="18" spans="1:33" s="39" customFormat="1" ht="16.2" x14ac:dyDescent="0.45">
      <c r="A18" s="161"/>
      <c r="B18" s="90" t="s">
        <v>11</v>
      </c>
      <c r="C18" s="36"/>
      <c r="D18" s="37">
        <f t="shared" ref="D18:AG18" si="26">SUM(D15:D17)</f>
        <v>2535</v>
      </c>
      <c r="E18" s="37">
        <f t="shared" si="26"/>
        <v>2774</v>
      </c>
      <c r="F18" s="37">
        <f t="shared" si="26"/>
        <v>2902</v>
      </c>
      <c r="G18" s="37">
        <f t="shared" si="26"/>
        <v>3211</v>
      </c>
      <c r="H18" s="38">
        <f t="shared" si="26"/>
        <v>11422</v>
      </c>
      <c r="I18" s="37">
        <f t="shared" si="26"/>
        <v>3546</v>
      </c>
      <c r="J18" s="37">
        <f t="shared" si="26"/>
        <v>3683</v>
      </c>
      <c r="K18" s="37">
        <f t="shared" si="26"/>
        <v>3758</v>
      </c>
      <c r="L18" s="37">
        <f t="shared" si="26"/>
        <v>4009</v>
      </c>
      <c r="M18" s="38">
        <f t="shared" si="26"/>
        <v>14996</v>
      </c>
      <c r="N18" s="37">
        <f t="shared" si="26"/>
        <v>4590</v>
      </c>
      <c r="O18" s="37">
        <f t="shared" si="26"/>
        <v>5154</v>
      </c>
      <c r="P18" s="37">
        <f t="shared" si="26"/>
        <v>5528</v>
      </c>
      <c r="Q18" s="37">
        <f t="shared" si="26"/>
        <v>6298</v>
      </c>
      <c r="R18" s="38">
        <f t="shared" si="26"/>
        <v>21570</v>
      </c>
      <c r="S18" s="37">
        <f t="shared" si="26"/>
        <v>8944</v>
      </c>
      <c r="T18" s="153">
        <f t="shared" si="26"/>
        <v>8953</v>
      </c>
      <c r="U18" s="37">
        <f t="shared" si="26"/>
        <v>7312</v>
      </c>
      <c r="V18" s="37">
        <f t="shared" si="26"/>
        <v>8732</v>
      </c>
      <c r="W18" s="38">
        <f t="shared" si="26"/>
        <v>33941</v>
      </c>
      <c r="X18" s="37">
        <f t="shared" si="26"/>
        <v>8385</v>
      </c>
      <c r="Y18" s="37">
        <f t="shared" si="26"/>
        <v>8833.7743732199997</v>
      </c>
      <c r="Z18" s="37">
        <f t="shared" si="26"/>
        <v>9091.3582653856065</v>
      </c>
      <c r="AA18" s="37">
        <f t="shared" si="26"/>
        <v>11011.194365140052</v>
      </c>
      <c r="AB18" s="131">
        <f t="shared" si="26"/>
        <v>37321.327003745653</v>
      </c>
      <c r="AC18" s="37">
        <f t="shared" si="26"/>
        <v>10960.312613760969</v>
      </c>
      <c r="AD18" s="37">
        <f t="shared" si="26"/>
        <v>10028.333799944196</v>
      </c>
      <c r="AE18" s="37">
        <f t="shared" si="26"/>
        <v>11165.576513733577</v>
      </c>
      <c r="AF18" s="37">
        <f t="shared" si="26"/>
        <v>13869.44314706948</v>
      </c>
      <c r="AG18" s="131">
        <f t="shared" si="26"/>
        <v>46023.666074508219</v>
      </c>
    </row>
    <row r="19" spans="1:33" x14ac:dyDescent="0.3">
      <c r="A19" s="138"/>
      <c r="B19" s="90" t="s">
        <v>21</v>
      </c>
      <c r="C19" s="33"/>
      <c r="D19" s="40">
        <f>D13-D18</f>
        <v>2009</v>
      </c>
      <c r="E19" s="40">
        <f t="shared" ref="E19:F19" si="27">E13-E18</f>
        <v>2746</v>
      </c>
      <c r="F19" s="40">
        <f t="shared" si="27"/>
        <v>3122</v>
      </c>
      <c r="G19" s="40">
        <f>G13-G18</f>
        <v>4550</v>
      </c>
      <c r="H19" s="41">
        <f>H13-H18</f>
        <v>12427</v>
      </c>
      <c r="I19" s="40">
        <f>I13-I18</f>
        <v>3327</v>
      </c>
      <c r="J19" s="40">
        <f t="shared" ref="J19" si="28">J13-J18</f>
        <v>4401</v>
      </c>
      <c r="K19" s="40">
        <f t="shared" ref="K19" si="29">K13-K18</f>
        <v>5122</v>
      </c>
      <c r="L19" s="40">
        <f>L13-L18</f>
        <v>7352</v>
      </c>
      <c r="M19" s="41">
        <f>M13-M18</f>
        <v>20202</v>
      </c>
      <c r="N19" s="40">
        <f>N13-N18</f>
        <v>5449</v>
      </c>
      <c r="O19" s="40">
        <f t="shared" ref="O19" si="30">O13-O18</f>
        <v>5863</v>
      </c>
      <c r="P19" s="40">
        <f t="shared" ref="P19" si="31">P13-P18</f>
        <v>5781</v>
      </c>
      <c r="Q19" s="40">
        <f>Q13-Q18</f>
        <v>7820</v>
      </c>
      <c r="R19" s="41">
        <f>R13-R18</f>
        <v>24913</v>
      </c>
      <c r="S19" s="134">
        <f>S13-S18</f>
        <v>3317</v>
      </c>
      <c r="T19" s="134">
        <f t="shared" ref="T19" si="32">T13-T18</f>
        <v>4626</v>
      </c>
      <c r="U19" s="134">
        <f t="shared" ref="U19" si="33">U13-U18</f>
        <v>7185</v>
      </c>
      <c r="V19" s="134">
        <f>V13-V18</f>
        <v>8858</v>
      </c>
      <c r="W19" s="41">
        <f>W13-W18</f>
        <v>23986</v>
      </c>
      <c r="X19" s="40">
        <f>X13-X18</f>
        <v>5893</v>
      </c>
      <c r="Y19" s="40">
        <f t="shared" ref="Y19" si="34">Y13-Y18</f>
        <v>4763.3097110500003</v>
      </c>
      <c r="Z19" s="40">
        <f t="shared" ref="Z19" si="35">Z13-Z18</f>
        <v>5966.2038616593054</v>
      </c>
      <c r="AA19" s="40">
        <f>AA13-AA18</f>
        <v>7614.1237631287568</v>
      </c>
      <c r="AB19" s="130">
        <f>AB13-AB18</f>
        <v>24236.637335838073</v>
      </c>
      <c r="AC19" s="40">
        <f>AC13-AC18</f>
        <v>6864.0341621533335</v>
      </c>
      <c r="AD19" s="40">
        <f t="shared" ref="AD19" si="36">AD13-AD18</f>
        <v>7739.2576064786717</v>
      </c>
      <c r="AE19" s="40">
        <f t="shared" ref="AE19" si="37">AE13-AE18</f>
        <v>8616.912309511783</v>
      </c>
      <c r="AF19" s="40">
        <f>AF13-AF18</f>
        <v>10703.591993934053</v>
      </c>
      <c r="AG19" s="130">
        <f>AG13-AG18</f>
        <v>33923.796072077836</v>
      </c>
    </row>
    <row r="20" spans="1:33" ht="16.2" x14ac:dyDescent="0.45">
      <c r="A20" s="138"/>
      <c r="B20" s="70" t="s">
        <v>70</v>
      </c>
      <c r="C20" s="69"/>
      <c r="D20" s="34">
        <v>56</v>
      </c>
      <c r="E20" s="34">
        <v>20</v>
      </c>
      <c r="F20" s="34">
        <v>47</v>
      </c>
      <c r="G20" s="34">
        <v>-32</v>
      </c>
      <c r="H20" s="35">
        <f t="shared" ref="H20" si="38">SUM(D20:G20)</f>
        <v>91</v>
      </c>
      <c r="I20" s="34">
        <v>81</v>
      </c>
      <c r="J20" s="34">
        <v>87</v>
      </c>
      <c r="K20" s="34">
        <v>114</v>
      </c>
      <c r="L20" s="34">
        <v>110</v>
      </c>
      <c r="M20" s="35">
        <f t="shared" ref="M20" si="39">SUM(I20:L20)</f>
        <v>392</v>
      </c>
      <c r="N20" s="34">
        <v>161</v>
      </c>
      <c r="O20" s="34">
        <v>5</v>
      </c>
      <c r="P20" s="34">
        <v>131</v>
      </c>
      <c r="Q20" s="34">
        <v>151</v>
      </c>
      <c r="R20" s="35">
        <f t="shared" ref="R20" si="40">SUM(N20:Q20)</f>
        <v>448</v>
      </c>
      <c r="S20" s="135">
        <v>165</v>
      </c>
      <c r="T20" s="135">
        <v>206</v>
      </c>
      <c r="U20" s="135">
        <v>144</v>
      </c>
      <c r="V20" s="135">
        <f>826-U20-T20-S20</f>
        <v>311</v>
      </c>
      <c r="W20" s="35">
        <f t="shared" ref="W20" si="41">SUM(S20:V20)</f>
        <v>826</v>
      </c>
      <c r="X20" s="135">
        <v>-32</v>
      </c>
      <c r="Y20" s="57">
        <f>AVERAGE(X20,V20,U20,T20)</f>
        <v>157.25</v>
      </c>
      <c r="Z20" s="57">
        <f>AVERAGE(Y20,X20,V20,U20)</f>
        <v>145.0625</v>
      </c>
      <c r="AA20" s="57">
        <f>AVERAGE(Z20,Y20,X20,V20)</f>
        <v>145.328125</v>
      </c>
      <c r="AB20" s="129">
        <f t="shared" ref="AB20" si="42">SUM(X20:AA20)</f>
        <v>415.640625</v>
      </c>
      <c r="AC20" s="57">
        <f>AVERAGE(AA20,Z20,Y20,X20)</f>
        <v>103.91015625</v>
      </c>
      <c r="AD20" s="57">
        <f>AVERAGE(AC20,AA20,Z20,Y20)</f>
        <v>137.8876953125</v>
      </c>
      <c r="AE20" s="57">
        <f>AVERAGE(AD20,AC20,AA20,Z20)</f>
        <v>133.047119140625</v>
      </c>
      <c r="AF20" s="57">
        <f>AVERAGE(AE20,AD20,AC20,AA20)</f>
        <v>130.04327392578125</v>
      </c>
      <c r="AG20" s="129">
        <f t="shared" ref="AG20" si="43">SUM(AC20:AF20)</f>
        <v>504.88824462890625</v>
      </c>
    </row>
    <row r="21" spans="1:33" x14ac:dyDescent="0.3">
      <c r="A21" s="138"/>
      <c r="B21" s="214" t="s">
        <v>22</v>
      </c>
      <c r="C21" s="215"/>
      <c r="D21" s="40">
        <f t="shared" ref="D21:AG21" si="44">D19+D20</f>
        <v>2065</v>
      </c>
      <c r="E21" s="40">
        <f t="shared" si="44"/>
        <v>2766</v>
      </c>
      <c r="F21" s="40">
        <f t="shared" si="44"/>
        <v>3169</v>
      </c>
      <c r="G21" s="40">
        <f t="shared" si="44"/>
        <v>4518</v>
      </c>
      <c r="H21" s="41">
        <f t="shared" si="44"/>
        <v>12518</v>
      </c>
      <c r="I21" s="40">
        <f t="shared" si="44"/>
        <v>3408</v>
      </c>
      <c r="J21" s="40">
        <f t="shared" si="44"/>
        <v>4488</v>
      </c>
      <c r="K21" s="40">
        <f t="shared" si="44"/>
        <v>5236</v>
      </c>
      <c r="L21" s="40">
        <f t="shared" si="44"/>
        <v>7462</v>
      </c>
      <c r="M21" s="41">
        <f t="shared" si="44"/>
        <v>20594</v>
      </c>
      <c r="N21" s="40">
        <f t="shared" si="44"/>
        <v>5610</v>
      </c>
      <c r="O21" s="40">
        <f t="shared" si="44"/>
        <v>5868</v>
      </c>
      <c r="P21" s="40">
        <f t="shared" si="44"/>
        <v>5912</v>
      </c>
      <c r="Q21" s="40">
        <f t="shared" si="44"/>
        <v>7971</v>
      </c>
      <c r="R21" s="41">
        <f t="shared" si="44"/>
        <v>25361</v>
      </c>
      <c r="S21" s="134">
        <f t="shared" si="44"/>
        <v>3482</v>
      </c>
      <c r="T21" s="134">
        <f t="shared" si="44"/>
        <v>4832</v>
      </c>
      <c r="U21" s="40">
        <f t="shared" si="44"/>
        <v>7329</v>
      </c>
      <c r="V21" s="40">
        <f>V19+V20</f>
        <v>9169</v>
      </c>
      <c r="W21" s="41">
        <f t="shared" si="44"/>
        <v>24812</v>
      </c>
      <c r="X21" s="134">
        <f t="shared" si="44"/>
        <v>5861</v>
      </c>
      <c r="Y21" s="40">
        <f t="shared" si="44"/>
        <v>4920.5597110500003</v>
      </c>
      <c r="Z21" s="40">
        <f t="shared" si="44"/>
        <v>6111.2663616593054</v>
      </c>
      <c r="AA21" s="40">
        <f t="shared" si="44"/>
        <v>7759.4518881287568</v>
      </c>
      <c r="AB21" s="130">
        <f t="shared" si="44"/>
        <v>24652.277960838073</v>
      </c>
      <c r="AC21" s="40">
        <f t="shared" si="44"/>
        <v>6967.9443184033335</v>
      </c>
      <c r="AD21" s="40">
        <f t="shared" si="44"/>
        <v>7877.1453017911717</v>
      </c>
      <c r="AE21" s="40">
        <f t="shared" si="44"/>
        <v>8749.959428652408</v>
      </c>
      <c r="AF21" s="40">
        <f t="shared" si="44"/>
        <v>10833.635267859834</v>
      </c>
      <c r="AG21" s="130">
        <f t="shared" si="44"/>
        <v>34428.684316706742</v>
      </c>
    </row>
    <row r="22" spans="1:33" ht="16.2" x14ac:dyDescent="0.45">
      <c r="A22" s="138"/>
      <c r="B22" s="206" t="s">
        <v>7</v>
      </c>
      <c r="C22" s="207"/>
      <c r="D22" s="34">
        <v>-555</v>
      </c>
      <c r="E22" s="34">
        <v>-711</v>
      </c>
      <c r="F22" s="34">
        <v>-790</v>
      </c>
      <c r="G22" s="34">
        <f>-2301-F22-E22-D22</f>
        <v>-245</v>
      </c>
      <c r="H22" s="35">
        <f>SUM(D22:G22)</f>
        <v>-2301</v>
      </c>
      <c r="I22" s="34">
        <v>-344</v>
      </c>
      <c r="J22" s="34">
        <v>-594</v>
      </c>
      <c r="K22" s="34">
        <v>-529</v>
      </c>
      <c r="L22" s="34">
        <v>-3194</v>
      </c>
      <c r="M22" s="35">
        <f>SUM(I22:L22)</f>
        <v>-4661</v>
      </c>
      <c r="N22" s="34">
        <v>-622</v>
      </c>
      <c r="O22" s="34">
        <v>-762</v>
      </c>
      <c r="P22" s="34">
        <v>-775</v>
      </c>
      <c r="Q22" s="34">
        <v>-1089</v>
      </c>
      <c r="R22" s="35">
        <f>SUM(N22:Q22)</f>
        <v>-3248</v>
      </c>
      <c r="S22" s="135">
        <v>-1053</v>
      </c>
      <c r="T22" s="135">
        <v>-2216</v>
      </c>
      <c r="U22" s="34">
        <v>-1238</v>
      </c>
      <c r="V22" s="34">
        <f>-6327-U22-T22-S22</f>
        <v>-1820</v>
      </c>
      <c r="W22" s="35">
        <f>SUM(S22:V22)</f>
        <v>-6327</v>
      </c>
      <c r="X22" s="135">
        <v>-959</v>
      </c>
      <c r="Y22" s="34">
        <f>+Y21*-Y74</f>
        <v>-885.70074798899998</v>
      </c>
      <c r="Z22" s="34">
        <f>+Z21*-Z74</f>
        <v>-1100.027945098675</v>
      </c>
      <c r="AA22" s="34">
        <f>+AA21*-AA74</f>
        <v>-1396.7013398631761</v>
      </c>
      <c r="AB22" s="129">
        <f>SUM(X22:AA22)</f>
        <v>-4341.4300329508515</v>
      </c>
      <c r="AC22" s="34">
        <f>+AC21*-AC74</f>
        <v>-1225.7031348078929</v>
      </c>
      <c r="AD22" s="34">
        <f>+AD21*-AD74</f>
        <v>-1429.2632545976694</v>
      </c>
      <c r="AE22" s="34">
        <f>+AE21*-AE74</f>
        <v>-1590.7898486016227</v>
      </c>
      <c r="AF22" s="34">
        <f>+AF21*-AF74</f>
        <v>-1974.5031154366325</v>
      </c>
      <c r="AG22" s="129">
        <f>SUM(AC22:AF22)</f>
        <v>-6220.2593534438174</v>
      </c>
    </row>
    <row r="23" spans="1:33" x14ac:dyDescent="0.3">
      <c r="A23" s="145"/>
      <c r="B23" s="214" t="s">
        <v>8</v>
      </c>
      <c r="C23" s="215"/>
      <c r="D23" s="40">
        <f t="shared" ref="D23:AG23" si="45">+D21+D22</f>
        <v>1510</v>
      </c>
      <c r="E23" s="40">
        <f t="shared" si="45"/>
        <v>2055</v>
      </c>
      <c r="F23" s="40">
        <f t="shared" si="45"/>
        <v>2379</v>
      </c>
      <c r="G23" s="40">
        <f t="shared" si="45"/>
        <v>4273</v>
      </c>
      <c r="H23" s="41">
        <f t="shared" si="45"/>
        <v>10217</v>
      </c>
      <c r="I23" s="40">
        <f t="shared" si="45"/>
        <v>3064</v>
      </c>
      <c r="J23" s="40">
        <f t="shared" si="45"/>
        <v>3894</v>
      </c>
      <c r="K23" s="40">
        <f t="shared" si="45"/>
        <v>4707</v>
      </c>
      <c r="L23" s="40">
        <f t="shared" si="45"/>
        <v>4268</v>
      </c>
      <c r="M23" s="41">
        <f t="shared" si="45"/>
        <v>15933</v>
      </c>
      <c r="N23" s="40">
        <f t="shared" si="45"/>
        <v>4988</v>
      </c>
      <c r="O23" s="40">
        <f t="shared" si="45"/>
        <v>5106</v>
      </c>
      <c r="P23" s="40">
        <f t="shared" si="45"/>
        <v>5137</v>
      </c>
      <c r="Q23" s="40">
        <f t="shared" si="45"/>
        <v>6882</v>
      </c>
      <c r="R23" s="41">
        <f t="shared" si="45"/>
        <v>22113</v>
      </c>
      <c r="S23" s="134">
        <f t="shared" si="45"/>
        <v>2429</v>
      </c>
      <c r="T23" s="134">
        <f t="shared" si="45"/>
        <v>2616</v>
      </c>
      <c r="U23" s="40">
        <f t="shared" si="45"/>
        <v>6091</v>
      </c>
      <c r="V23" s="40">
        <f t="shared" si="45"/>
        <v>7349</v>
      </c>
      <c r="W23" s="41">
        <f t="shared" si="45"/>
        <v>18485</v>
      </c>
      <c r="X23" s="134">
        <f t="shared" si="45"/>
        <v>4902</v>
      </c>
      <c r="Y23" s="40">
        <f t="shared" si="45"/>
        <v>4034.8589630610004</v>
      </c>
      <c r="Z23" s="40">
        <f t="shared" si="45"/>
        <v>5011.2384165606309</v>
      </c>
      <c r="AA23" s="40">
        <f t="shared" si="45"/>
        <v>6362.7505482655806</v>
      </c>
      <c r="AB23" s="130">
        <f t="shared" si="45"/>
        <v>20310.847927887222</v>
      </c>
      <c r="AC23" s="40">
        <f t="shared" si="45"/>
        <v>5742.2411835954408</v>
      </c>
      <c r="AD23" s="40">
        <f t="shared" si="45"/>
        <v>6447.8820471935023</v>
      </c>
      <c r="AE23" s="40">
        <f t="shared" si="45"/>
        <v>7159.169580050785</v>
      </c>
      <c r="AF23" s="40">
        <f t="shared" si="45"/>
        <v>8859.1321524232008</v>
      </c>
      <c r="AG23" s="130">
        <f t="shared" si="45"/>
        <v>28208.424963262925</v>
      </c>
    </row>
    <row r="24" spans="1:33" ht="16.2" x14ac:dyDescent="0.45">
      <c r="A24" s="145"/>
      <c r="B24" s="47" t="s">
        <v>71</v>
      </c>
      <c r="C24" s="71"/>
      <c r="D24" s="34">
        <v>5</v>
      </c>
      <c r="E24" s="34">
        <v>7</v>
      </c>
      <c r="F24" s="34">
        <v>6</v>
      </c>
      <c r="G24" s="34">
        <v>7</v>
      </c>
      <c r="H24" s="35">
        <f>SUM(D24:G24)</f>
        <v>25</v>
      </c>
      <c r="I24" s="34">
        <v>5</v>
      </c>
      <c r="J24" s="34">
        <v>4</v>
      </c>
      <c r="K24" s="34">
        <v>3</v>
      </c>
      <c r="L24" s="34">
        <v>2</v>
      </c>
      <c r="M24" s="35">
        <f>SUM(I24:L24)</f>
        <v>14</v>
      </c>
      <c r="N24" s="34">
        <v>1</v>
      </c>
      <c r="O24" s="34">
        <v>0</v>
      </c>
      <c r="P24" s="34">
        <v>0</v>
      </c>
      <c r="Q24" s="34">
        <v>0</v>
      </c>
      <c r="R24" s="35">
        <f>SUM(N24:Q24)</f>
        <v>1</v>
      </c>
      <c r="S24" s="135">
        <v>0</v>
      </c>
      <c r="T24" s="135">
        <v>0</v>
      </c>
      <c r="U24" s="135">
        <v>0</v>
      </c>
      <c r="V24" s="135">
        <f>0-U24-T24-S24</f>
        <v>0</v>
      </c>
      <c r="W24" s="35">
        <f>SUM(S24:V24)</f>
        <v>0</v>
      </c>
      <c r="X24" s="135">
        <v>0</v>
      </c>
      <c r="Y24" s="135">
        <v>0</v>
      </c>
      <c r="Z24" s="135">
        <v>0</v>
      </c>
      <c r="AA24" s="135">
        <v>0</v>
      </c>
      <c r="AB24" s="129">
        <f>SUM(X24:AA24)</f>
        <v>0</v>
      </c>
      <c r="AC24" s="135">
        <v>0</v>
      </c>
      <c r="AD24" s="135">
        <v>0</v>
      </c>
      <c r="AE24" s="135">
        <v>0</v>
      </c>
      <c r="AF24" s="135">
        <v>0</v>
      </c>
      <c r="AG24" s="129">
        <f>SUM(AC24:AF24)</f>
        <v>0</v>
      </c>
    </row>
    <row r="25" spans="1:33" s="21" customFormat="1" x14ac:dyDescent="0.3">
      <c r="A25" s="161"/>
      <c r="B25" s="78" t="s">
        <v>72</v>
      </c>
      <c r="C25" s="74"/>
      <c r="D25" s="40">
        <f>+D23-D24</f>
        <v>1505</v>
      </c>
      <c r="E25" s="40">
        <f t="shared" ref="E25:G25" si="46">+E23-E24</f>
        <v>2048</v>
      </c>
      <c r="F25" s="40">
        <f t="shared" si="46"/>
        <v>2373</v>
      </c>
      <c r="G25" s="40">
        <f t="shared" si="46"/>
        <v>4266</v>
      </c>
      <c r="H25" s="41">
        <f>+H23-H24</f>
        <v>10192</v>
      </c>
      <c r="I25" s="40">
        <f t="shared" ref="I25:M25" si="47">+I23-I24</f>
        <v>3059</v>
      </c>
      <c r="J25" s="40">
        <f t="shared" si="47"/>
        <v>3890</v>
      </c>
      <c r="K25" s="40">
        <f t="shared" si="47"/>
        <v>4704</v>
      </c>
      <c r="L25" s="40">
        <f t="shared" si="47"/>
        <v>4266</v>
      </c>
      <c r="M25" s="41">
        <f t="shared" si="47"/>
        <v>15919</v>
      </c>
      <c r="N25" s="40">
        <f t="shared" ref="N25" si="48">+N23-N24</f>
        <v>4987</v>
      </c>
      <c r="O25" s="40">
        <f t="shared" ref="O25" si="49">+O23-O24</f>
        <v>5106</v>
      </c>
      <c r="P25" s="40">
        <f t="shared" ref="P25" si="50">+P23-P24</f>
        <v>5137</v>
      </c>
      <c r="Q25" s="40">
        <f t="shared" ref="Q25" si="51">+Q23-Q24</f>
        <v>6882</v>
      </c>
      <c r="R25" s="41">
        <f t="shared" ref="R25" si="52">+R23-R24</f>
        <v>22112</v>
      </c>
      <c r="S25" s="134">
        <f t="shared" ref="S25" si="53">+S23-S24</f>
        <v>2429</v>
      </c>
      <c r="T25" s="134">
        <f t="shared" ref="T25" si="54">+T23-T24</f>
        <v>2616</v>
      </c>
      <c r="U25" s="40">
        <f t="shared" ref="U25" si="55">+U23-U24</f>
        <v>6091</v>
      </c>
      <c r="V25" s="40">
        <f t="shared" ref="V25" si="56">+V23-V24</f>
        <v>7349</v>
      </c>
      <c r="W25" s="41">
        <f t="shared" ref="W25" si="57">+W23-W24</f>
        <v>18485</v>
      </c>
      <c r="X25" s="40">
        <f t="shared" ref="X25" si="58">+X23-X24</f>
        <v>4902</v>
      </c>
      <c r="Y25" s="40">
        <f t="shared" ref="Y25" si="59">+Y23-Y24</f>
        <v>4034.8589630610004</v>
      </c>
      <c r="Z25" s="40">
        <f t="shared" ref="Z25" si="60">+Z23-Z24</f>
        <v>5011.2384165606309</v>
      </c>
      <c r="AA25" s="40">
        <f t="shared" ref="AA25" si="61">+AA23-AA24</f>
        <v>6362.7505482655806</v>
      </c>
      <c r="AB25" s="130">
        <f t="shared" ref="AB25" si="62">+AB23-AB24</f>
        <v>20310.847927887222</v>
      </c>
      <c r="AC25" s="40">
        <f t="shared" ref="AC25" si="63">+AC23-AC24</f>
        <v>5742.2411835954408</v>
      </c>
      <c r="AD25" s="40">
        <f t="shared" ref="AD25" si="64">+AD23-AD24</f>
        <v>6447.8820471935023</v>
      </c>
      <c r="AE25" s="40">
        <f t="shared" ref="AE25" si="65">+AE23-AE24</f>
        <v>7159.169580050785</v>
      </c>
      <c r="AF25" s="40">
        <f t="shared" ref="AF25" si="66">+AF23-AF24</f>
        <v>8859.1321524232008</v>
      </c>
      <c r="AG25" s="130">
        <f t="shared" ref="AG25" si="67">+AG23-AG24</f>
        <v>28208.424963262925</v>
      </c>
    </row>
    <row r="26" spans="1:33" x14ac:dyDescent="0.3">
      <c r="A26" s="138"/>
      <c r="B26" s="206" t="s">
        <v>0</v>
      </c>
      <c r="C26" s="207"/>
      <c r="D26" s="29">
        <v>2843</v>
      </c>
      <c r="E26" s="29">
        <v>2856</v>
      </c>
      <c r="F26" s="29">
        <v>2871</v>
      </c>
      <c r="G26" s="29">
        <v>2882</v>
      </c>
      <c r="H26" s="30">
        <v>2863.4998999999998</v>
      </c>
      <c r="I26" s="29">
        <v>2891</v>
      </c>
      <c r="J26" s="29">
        <v>2900</v>
      </c>
      <c r="K26" s="29">
        <v>2904</v>
      </c>
      <c r="L26" s="29">
        <v>2907</v>
      </c>
      <c r="M26" s="30">
        <v>2901</v>
      </c>
      <c r="N26" s="29">
        <v>2906</v>
      </c>
      <c r="O26" s="29">
        <v>2895</v>
      </c>
      <c r="P26" s="29">
        <v>2885</v>
      </c>
      <c r="Q26" s="29">
        <v>2872</v>
      </c>
      <c r="R26" s="30">
        <v>2890</v>
      </c>
      <c r="S26" s="133">
        <v>2856</v>
      </c>
      <c r="T26" s="133">
        <v>2855</v>
      </c>
      <c r="U26" s="29">
        <v>2854</v>
      </c>
      <c r="V26" s="29">
        <v>2854</v>
      </c>
      <c r="W26" s="30">
        <f>(S26*S23/W23)+(T26*T23/W23)+(U26*U23/W23)+(V26*V23/W23)</f>
        <v>2854.4043278333784</v>
      </c>
      <c r="X26" s="29">
        <v>2851</v>
      </c>
      <c r="Y26" s="29">
        <f>X26*(1+Y76)-Y80</f>
        <v>2850.5767040245141</v>
      </c>
      <c r="Z26" s="29">
        <f>Y26*(1+Z76)-Z80</f>
        <v>2850.0378805755095</v>
      </c>
      <c r="AA26" s="29">
        <f>Z26*(1+AA76)-AA80</f>
        <v>2849.4079159471644</v>
      </c>
      <c r="AB26" s="128">
        <f>(X26*X23/AB23)+(Y26*Y23/AB23)+(Z26*Z23/AB23)+(AA26*AA23/AB23)</f>
        <v>2850.1797790460901</v>
      </c>
      <c r="AC26" s="29">
        <f>AA26*(1+AC76)-AC80</f>
        <v>2848.421187769321</v>
      </c>
      <c r="AD26" s="29">
        <f>AC26*(1+AD76)-AD80</f>
        <v>2847.7732814095034</v>
      </c>
      <c r="AE26" s="29">
        <f>AD26*(1+AE76)-AE80</f>
        <v>2847.0692527964129</v>
      </c>
      <c r="AF26" s="29">
        <f>AE26*(1+AF76)-AF80</f>
        <v>2846.3239587448084</v>
      </c>
      <c r="AG26" s="128">
        <f>(AC26*AC23/AG23)+(AD26*AD23/AG23)+(AE26*AE23/AG23)+(AF26*AF23/AG23)</f>
        <v>2847.2713190814284</v>
      </c>
    </row>
    <row r="27" spans="1:33" x14ac:dyDescent="0.3">
      <c r="A27" s="138"/>
      <c r="B27" s="206" t="s">
        <v>1</v>
      </c>
      <c r="C27" s="207"/>
      <c r="D27" s="29">
        <v>2888</v>
      </c>
      <c r="E27" s="29">
        <v>2904</v>
      </c>
      <c r="F27" s="29">
        <v>2915</v>
      </c>
      <c r="G27" s="29">
        <v>2938</v>
      </c>
      <c r="H27" s="30">
        <v>2925</v>
      </c>
      <c r="I27" s="29">
        <v>2944</v>
      </c>
      <c r="J27" s="29">
        <v>2951</v>
      </c>
      <c r="K27" s="29">
        <v>2956</v>
      </c>
      <c r="L27" s="29">
        <v>2954</v>
      </c>
      <c r="M27" s="30">
        <v>2956</v>
      </c>
      <c r="N27" s="29">
        <v>2945</v>
      </c>
      <c r="O27" s="29">
        <v>2930</v>
      </c>
      <c r="P27" s="29">
        <v>2913</v>
      </c>
      <c r="Q27" s="29">
        <v>2886</v>
      </c>
      <c r="R27" s="30">
        <v>2921</v>
      </c>
      <c r="S27" s="133">
        <v>2869</v>
      </c>
      <c r="T27" s="133">
        <v>2875</v>
      </c>
      <c r="U27" s="29">
        <v>2874</v>
      </c>
      <c r="V27" s="29">
        <v>2880</v>
      </c>
      <c r="W27" s="30">
        <f>(S27*S23/W23)+(T27*T23/W23)+(U27*U23/W23)+(V27*V23/W23)</f>
        <v>2875.8698945090614</v>
      </c>
      <c r="X27" s="29">
        <v>2868</v>
      </c>
      <c r="Y27" s="29">
        <f>X27*(1+Y77)-Y80</f>
        <v>2868.5785266195007</v>
      </c>
      <c r="Z27" s="29">
        <f>Y27*(1+Z77)-Z80</f>
        <v>2867.5424433846169</v>
      </c>
      <c r="AA27" s="29">
        <f>Z27*(1+AA77)-AA80</f>
        <v>2866.291129167108</v>
      </c>
      <c r="AB27" s="128">
        <f>(X27*X23/AB23)+(Y27*Y23/AB23)+(Z27*Z23/AB23)+(AA27*AA23/AB23)</f>
        <v>2867.4667002165502</v>
      </c>
      <c r="AC27" s="29">
        <f>AA27*(1+AC77)-AC80</f>
        <v>2863.0325279210824</v>
      </c>
      <c r="AD27" s="29">
        <f>AC27*(1+AD77)-AD80</f>
        <v>2861.7834571223088</v>
      </c>
      <c r="AE27" s="29">
        <f>AD27*(1+AE77)-AE80</f>
        <v>2860.0784118033621</v>
      </c>
      <c r="AF27" s="29">
        <f>AE27*(1+AF77)-AF80</f>
        <v>2858.2065868010436</v>
      </c>
      <c r="AG27" s="128">
        <f>(AC27*AC23/AG23)+(AD27*AD23/AG23)+(AE27*AE23/AG23)+(AF27*AF23/AG23)</f>
        <v>2860.4816400334767</v>
      </c>
    </row>
    <row r="28" spans="1:33" x14ac:dyDescent="0.3">
      <c r="A28" s="138"/>
      <c r="B28" s="218" t="s">
        <v>9</v>
      </c>
      <c r="C28" s="219"/>
      <c r="D28" s="43">
        <f t="shared" ref="D28:AG28" si="68">D23/D26</f>
        <v>0.53112908899050304</v>
      </c>
      <c r="E28" s="43">
        <f t="shared" si="68"/>
        <v>0.71953781512605042</v>
      </c>
      <c r="F28" s="43">
        <f t="shared" si="68"/>
        <v>0.82863113897596652</v>
      </c>
      <c r="G28" s="43">
        <f t="shared" si="68"/>
        <v>1.4826509368494101</v>
      </c>
      <c r="H28" s="44">
        <f t="shared" si="68"/>
        <v>3.5680112997384774</v>
      </c>
      <c r="I28" s="43">
        <f t="shared" si="68"/>
        <v>1.0598408855067452</v>
      </c>
      <c r="J28" s="43">
        <f t="shared" si="68"/>
        <v>1.3427586206896551</v>
      </c>
      <c r="K28" s="43">
        <f t="shared" si="68"/>
        <v>1.6208677685950412</v>
      </c>
      <c r="L28" s="43">
        <f t="shared" si="68"/>
        <v>1.4681802545579636</v>
      </c>
      <c r="M28" s="44">
        <f t="shared" si="68"/>
        <v>5.4922440537745603</v>
      </c>
      <c r="N28" s="43">
        <f t="shared" si="68"/>
        <v>1.7164487267721955</v>
      </c>
      <c r="O28" s="43">
        <f t="shared" si="68"/>
        <v>1.7637305699481864</v>
      </c>
      <c r="P28" s="43">
        <f t="shared" si="68"/>
        <v>1.7805892547660311</v>
      </c>
      <c r="Q28" s="43">
        <f t="shared" si="68"/>
        <v>2.3962395543175488</v>
      </c>
      <c r="R28" s="44">
        <f t="shared" si="68"/>
        <v>7.6515570934256054</v>
      </c>
      <c r="S28" s="136">
        <f t="shared" si="68"/>
        <v>0.85049019607843135</v>
      </c>
      <c r="T28" s="136">
        <f t="shared" si="68"/>
        <v>0.91628721541155866</v>
      </c>
      <c r="U28" s="43">
        <f t="shared" si="68"/>
        <v>2.1341976173791171</v>
      </c>
      <c r="V28" s="43">
        <f t="shared" si="68"/>
        <v>2.5749824807288015</v>
      </c>
      <c r="W28" s="44">
        <f t="shared" si="68"/>
        <v>6.4759571094228789</v>
      </c>
      <c r="X28" s="43">
        <f t="shared" si="68"/>
        <v>1.7193967029112591</v>
      </c>
      <c r="Y28" s="43">
        <f t="shared" si="68"/>
        <v>1.4154535667693093</v>
      </c>
      <c r="Z28" s="43">
        <f t="shared" si="68"/>
        <v>1.7583058985688671</v>
      </c>
      <c r="AA28" s="43">
        <f t="shared" si="68"/>
        <v>2.2330079567251273</v>
      </c>
      <c r="AB28" s="132">
        <f t="shared" si="68"/>
        <v>7.1261637870032679</v>
      </c>
      <c r="AC28" s="43">
        <f t="shared" si="68"/>
        <v>2.0159382356274187</v>
      </c>
      <c r="AD28" s="43">
        <f t="shared" si="68"/>
        <v>2.2641837709784705</v>
      </c>
      <c r="AE28" s="43">
        <f t="shared" si="68"/>
        <v>2.514575145307405</v>
      </c>
      <c r="AF28" s="43">
        <f t="shared" si="68"/>
        <v>3.1124820227174572</v>
      </c>
      <c r="AG28" s="132">
        <f t="shared" si="68"/>
        <v>9.9071784182349649</v>
      </c>
    </row>
    <row r="29" spans="1:33" x14ac:dyDescent="0.3">
      <c r="A29" s="138"/>
      <c r="B29" s="216" t="s">
        <v>10</v>
      </c>
      <c r="C29" s="217"/>
      <c r="D29" s="107">
        <f t="shared" ref="D29:AG29" si="69">D23/D27</f>
        <v>0.52285318559556782</v>
      </c>
      <c r="E29" s="107">
        <f t="shared" si="69"/>
        <v>0.7076446280991735</v>
      </c>
      <c r="F29" s="107">
        <f t="shared" si="69"/>
        <v>0.81612349914236704</v>
      </c>
      <c r="G29" s="107">
        <f t="shared" si="69"/>
        <v>1.4543907420013615</v>
      </c>
      <c r="H29" s="108">
        <f t="shared" si="69"/>
        <v>3.4929914529914532</v>
      </c>
      <c r="I29" s="107">
        <f t="shared" si="69"/>
        <v>1.0407608695652173</v>
      </c>
      <c r="J29" s="107">
        <f t="shared" si="69"/>
        <v>1.3195526940020332</v>
      </c>
      <c r="K29" s="107">
        <f t="shared" si="69"/>
        <v>1.5923545331529094</v>
      </c>
      <c r="L29" s="107">
        <f t="shared" si="69"/>
        <v>1.4448205822613405</v>
      </c>
      <c r="M29" s="108">
        <f t="shared" si="69"/>
        <v>5.3900541271989173</v>
      </c>
      <c r="N29" s="107">
        <f t="shared" si="69"/>
        <v>1.6937181663837011</v>
      </c>
      <c r="O29" s="107">
        <f t="shared" si="69"/>
        <v>1.7426621160409557</v>
      </c>
      <c r="P29" s="107">
        <f t="shared" si="69"/>
        <v>1.7634740817027119</v>
      </c>
      <c r="Q29" s="107">
        <f t="shared" si="69"/>
        <v>2.3846153846153846</v>
      </c>
      <c r="R29" s="108">
        <f t="shared" si="69"/>
        <v>7.5703526189661074</v>
      </c>
      <c r="S29" s="137">
        <f t="shared" si="69"/>
        <v>0.84663645869640991</v>
      </c>
      <c r="T29" s="137">
        <f t="shared" si="69"/>
        <v>0.90991304347826085</v>
      </c>
      <c r="U29" s="137">
        <f t="shared" si="69"/>
        <v>2.1193458594293668</v>
      </c>
      <c r="V29" s="137">
        <f t="shared" si="69"/>
        <v>2.551736111111111</v>
      </c>
      <c r="W29" s="156">
        <f t="shared" si="69"/>
        <v>6.4276203994115555</v>
      </c>
      <c r="X29" s="137">
        <f t="shared" si="69"/>
        <v>1.7092050209205021</v>
      </c>
      <c r="Y29" s="137">
        <f t="shared" si="69"/>
        <v>1.4065708592666319</v>
      </c>
      <c r="Z29" s="137">
        <f t="shared" si="69"/>
        <v>1.7475725348447737</v>
      </c>
      <c r="AA29" s="137">
        <f t="shared" si="69"/>
        <v>2.2198549489683135</v>
      </c>
      <c r="AB29" s="156">
        <f t="shared" si="69"/>
        <v>7.0832027190946469</v>
      </c>
      <c r="AC29" s="137">
        <f t="shared" si="69"/>
        <v>2.0056499978940239</v>
      </c>
      <c r="AD29" s="137">
        <f t="shared" si="69"/>
        <v>2.2530992102656242</v>
      </c>
      <c r="AE29" s="137">
        <f t="shared" si="69"/>
        <v>2.5031375190642837</v>
      </c>
      <c r="AF29" s="137">
        <f t="shared" si="69"/>
        <v>3.0995422770816932</v>
      </c>
      <c r="AG29" s="156">
        <f t="shared" si="69"/>
        <v>9.8614249322477026</v>
      </c>
    </row>
    <row r="30" spans="1:33" x14ac:dyDescent="0.3">
      <c r="B30" s="46"/>
      <c r="C30" s="127" t="s">
        <v>14</v>
      </c>
      <c r="D30" s="50"/>
      <c r="E30" s="50"/>
      <c r="F30" s="50"/>
      <c r="G30" s="50"/>
      <c r="H30" s="16"/>
      <c r="I30" s="50"/>
      <c r="J30" s="50"/>
      <c r="K30" s="50"/>
      <c r="L30" s="50"/>
      <c r="M30" s="16"/>
      <c r="N30" s="50"/>
      <c r="O30" s="50"/>
      <c r="P30" s="50"/>
      <c r="Q30" s="50"/>
      <c r="R30" s="16"/>
      <c r="S30" s="83"/>
      <c r="T30" s="154"/>
      <c r="U30" s="150"/>
      <c r="V30" s="150"/>
      <c r="W30" s="150"/>
      <c r="X30" s="150"/>
      <c r="Y30" s="150"/>
      <c r="Z30" s="50"/>
      <c r="AA30" s="150"/>
      <c r="AB30" s="16"/>
      <c r="AC30" s="50"/>
      <c r="AD30" s="50"/>
      <c r="AE30" s="50"/>
      <c r="AF30" s="150"/>
      <c r="AG30" s="16"/>
    </row>
    <row r="31" spans="1:33" ht="15.6" x14ac:dyDescent="0.3">
      <c r="A31" s="138"/>
      <c r="B31" s="201" t="s">
        <v>24</v>
      </c>
      <c r="C31" s="202"/>
      <c r="D31" s="26" t="s">
        <v>44</v>
      </c>
      <c r="E31" s="26" t="s">
        <v>45</v>
      </c>
      <c r="F31" s="26" t="s">
        <v>46</v>
      </c>
      <c r="G31" s="26" t="s">
        <v>47</v>
      </c>
      <c r="H31" s="79" t="s">
        <v>47</v>
      </c>
      <c r="I31" s="26" t="s">
        <v>31</v>
      </c>
      <c r="J31" s="26" t="s">
        <v>36</v>
      </c>
      <c r="K31" s="26" t="s">
        <v>37</v>
      </c>
      <c r="L31" s="26" t="s">
        <v>38</v>
      </c>
      <c r="M31" s="79" t="s">
        <v>38</v>
      </c>
      <c r="N31" s="26" t="s">
        <v>33</v>
      </c>
      <c r="O31" s="26" t="s">
        <v>32</v>
      </c>
      <c r="P31" s="26" t="s">
        <v>34</v>
      </c>
      <c r="Q31" s="26" t="s">
        <v>35</v>
      </c>
      <c r="R31" s="79" t="s">
        <v>35</v>
      </c>
      <c r="S31" s="26" t="s">
        <v>53</v>
      </c>
      <c r="T31" s="26" t="s">
        <v>54</v>
      </c>
      <c r="U31" s="26" t="s">
        <v>55</v>
      </c>
      <c r="V31" s="26" t="s">
        <v>56</v>
      </c>
      <c r="W31" s="79" t="s">
        <v>56</v>
      </c>
      <c r="X31" s="26" t="s">
        <v>57</v>
      </c>
      <c r="Y31" s="28" t="s">
        <v>58</v>
      </c>
      <c r="Z31" s="28" t="s">
        <v>59</v>
      </c>
      <c r="AA31" s="28" t="s">
        <v>60</v>
      </c>
      <c r="AB31" s="81" t="s">
        <v>60</v>
      </c>
      <c r="AC31" s="28" t="s">
        <v>61</v>
      </c>
      <c r="AD31" s="28" t="s">
        <v>62</v>
      </c>
      <c r="AE31" s="28" t="s">
        <v>63</v>
      </c>
      <c r="AF31" s="28" t="s">
        <v>64</v>
      </c>
      <c r="AG31" s="81" t="s">
        <v>64</v>
      </c>
    </row>
    <row r="32" spans="1:33" ht="16.2" x14ac:dyDescent="0.45">
      <c r="A32" s="138"/>
      <c r="B32" s="208"/>
      <c r="C32" s="209"/>
      <c r="D32" s="27" t="s">
        <v>48</v>
      </c>
      <c r="E32" s="27" t="s">
        <v>49</v>
      </c>
      <c r="F32" s="27" t="s">
        <v>50</v>
      </c>
      <c r="G32" s="27" t="s">
        <v>51</v>
      </c>
      <c r="H32" s="80" t="s">
        <v>52</v>
      </c>
      <c r="I32" s="27" t="s">
        <v>39</v>
      </c>
      <c r="J32" s="27" t="s">
        <v>40</v>
      </c>
      <c r="K32" s="27" t="s">
        <v>41</v>
      </c>
      <c r="L32" s="27" t="s">
        <v>42</v>
      </c>
      <c r="M32" s="80" t="s">
        <v>43</v>
      </c>
      <c r="N32" s="27" t="s">
        <v>30</v>
      </c>
      <c r="O32" s="27" t="s">
        <v>29</v>
      </c>
      <c r="P32" s="27" t="s">
        <v>28</v>
      </c>
      <c r="Q32" s="27" t="s">
        <v>27</v>
      </c>
      <c r="R32" s="80" t="s">
        <v>26</v>
      </c>
      <c r="S32" s="27" t="s">
        <v>140</v>
      </c>
      <c r="T32" s="27" t="s">
        <v>146</v>
      </c>
      <c r="U32" s="27" t="s">
        <v>147</v>
      </c>
      <c r="V32" s="27" t="s">
        <v>148</v>
      </c>
      <c r="W32" s="80" t="s">
        <v>149</v>
      </c>
      <c r="X32" s="27" t="s">
        <v>150</v>
      </c>
      <c r="Y32" s="25" t="s">
        <v>105</v>
      </c>
      <c r="Z32" s="25" t="s">
        <v>106</v>
      </c>
      <c r="AA32" s="25" t="s">
        <v>107</v>
      </c>
      <c r="AB32" s="82" t="s">
        <v>108</v>
      </c>
      <c r="AC32" s="25" t="s">
        <v>109</v>
      </c>
      <c r="AD32" s="25" t="s">
        <v>110</v>
      </c>
      <c r="AE32" s="25" t="s">
        <v>111</v>
      </c>
      <c r="AF32" s="25" t="s">
        <v>112</v>
      </c>
      <c r="AG32" s="82" t="s">
        <v>113</v>
      </c>
    </row>
    <row r="33" spans="1:33" ht="15.6" x14ac:dyDescent="0.3">
      <c r="A33" s="138"/>
      <c r="B33" s="201" t="s">
        <v>145</v>
      </c>
      <c r="C33" s="202"/>
      <c r="D33" s="26"/>
      <c r="E33" s="26"/>
      <c r="F33" s="26"/>
      <c r="G33" s="26"/>
      <c r="H33" s="79"/>
      <c r="I33" s="26"/>
      <c r="J33" s="26"/>
      <c r="K33" s="26"/>
      <c r="L33" s="26"/>
      <c r="M33" s="79"/>
      <c r="N33" s="26"/>
      <c r="O33" s="26"/>
      <c r="P33" s="26"/>
      <c r="Q33" s="26"/>
      <c r="R33" s="79"/>
      <c r="S33" s="26"/>
      <c r="T33" s="26"/>
      <c r="U33" s="26"/>
      <c r="V33" s="26"/>
      <c r="W33" s="79"/>
      <c r="X33" s="26"/>
      <c r="Y33" s="28"/>
      <c r="Z33" s="28"/>
      <c r="AA33" s="28"/>
      <c r="AB33" s="81"/>
      <c r="AC33" s="28"/>
      <c r="AD33" s="28"/>
      <c r="AE33" s="28"/>
      <c r="AF33" s="28"/>
      <c r="AG33" s="81"/>
    </row>
    <row r="34" spans="1:33" outlineLevel="1" x14ac:dyDescent="0.3">
      <c r="A34" s="138"/>
      <c r="B34" s="70" t="s">
        <v>74</v>
      </c>
      <c r="C34" s="71"/>
      <c r="D34" s="64">
        <v>2740</v>
      </c>
      <c r="E34" s="64">
        <v>3212</v>
      </c>
      <c r="F34" s="64">
        <v>3560</v>
      </c>
      <c r="G34" s="64">
        <v>4556</v>
      </c>
      <c r="H34" s="19"/>
      <c r="I34" s="64">
        <v>3968</v>
      </c>
      <c r="J34" s="64">
        <v>4556</v>
      </c>
      <c r="K34" s="64">
        <v>5033</v>
      </c>
      <c r="L34" s="64">
        <v>6392</v>
      </c>
      <c r="M34" s="19"/>
      <c r="N34" s="64">
        <v>5667</v>
      </c>
      <c r="O34" s="64">
        <v>6251</v>
      </c>
      <c r="P34" s="64">
        <v>6667</v>
      </c>
      <c r="Q34" s="64">
        <v>8433</v>
      </c>
      <c r="R34" s="19"/>
      <c r="S34" s="64">
        <v>7308</v>
      </c>
      <c r="T34" s="64">
        <v>8115</v>
      </c>
      <c r="U34" s="64">
        <v>8487</v>
      </c>
      <c r="V34" s="64">
        <v>10248</v>
      </c>
      <c r="W34" s="19"/>
      <c r="X34" s="64">
        <v>8562</v>
      </c>
      <c r="Y34" s="64">
        <f>+((Y40+X40)/2)*Y50</f>
        <v>8092.7544960000005</v>
      </c>
      <c r="Z34" s="64">
        <f>+((Z40+Y40)/2)*Z50</f>
        <v>8778.6367499999997</v>
      </c>
      <c r="AA34" s="64">
        <f>+((AA40+Z40)/2)*AA50</f>
        <v>11135.401601</v>
      </c>
      <c r="AB34" s="19"/>
      <c r="AC34" s="64">
        <f>+((AC40+AA40)/2)*AC50</f>
        <v>10654.664795999999</v>
      </c>
      <c r="AD34" s="64">
        <f>+((AD40+AC40)/2)*AD50</f>
        <v>10107.703572940802</v>
      </c>
      <c r="AE34" s="64">
        <f>+((AE40+AD40)/2)*AE50</f>
        <v>10987.704416853125</v>
      </c>
      <c r="AF34" s="64">
        <f>+((AF40+AE40)/2)*AF50</f>
        <v>13906.804170312884</v>
      </c>
      <c r="AG34" s="19"/>
    </row>
    <row r="35" spans="1:33" outlineLevel="1" x14ac:dyDescent="0.3">
      <c r="A35" s="138"/>
      <c r="B35" s="70" t="s">
        <v>75</v>
      </c>
      <c r="C35" s="71"/>
      <c r="D35" s="64">
        <v>1307</v>
      </c>
      <c r="E35" s="64">
        <v>1585</v>
      </c>
      <c r="F35" s="64">
        <v>1605</v>
      </c>
      <c r="G35" s="64">
        <v>2065</v>
      </c>
      <c r="H35" s="19"/>
      <c r="I35" s="64">
        <v>1905</v>
      </c>
      <c r="J35" s="64">
        <v>2242</v>
      </c>
      <c r="K35" s="64">
        <v>2481</v>
      </c>
      <c r="L35" s="64">
        <v>3250</v>
      </c>
      <c r="M35" s="19"/>
      <c r="N35" s="64">
        <v>3036</v>
      </c>
      <c r="O35" s="64">
        <v>3302</v>
      </c>
      <c r="P35" s="64">
        <v>3313</v>
      </c>
      <c r="Q35" s="64">
        <v>4151</v>
      </c>
      <c r="R35" s="19"/>
      <c r="S35" s="64">
        <v>3650</v>
      </c>
      <c r="T35" s="64">
        <v>4109</v>
      </c>
      <c r="U35" s="64">
        <v>4124</v>
      </c>
      <c r="V35" s="64">
        <v>5159</v>
      </c>
      <c r="W35" s="19"/>
      <c r="X35" s="64">
        <v>4254</v>
      </c>
      <c r="Y35" s="64">
        <f>+((Y42+X42)/2)*Y52</f>
        <v>4181.217599999999</v>
      </c>
      <c r="Z35" s="64">
        <f t="shared" ref="Z35:AA35" si="70">+((Z42+Y42)/2)*Z52</f>
        <v>4402.7297148546986</v>
      </c>
      <c r="AA35" s="64">
        <f t="shared" si="70"/>
        <v>5657.6416562646227</v>
      </c>
      <c r="AB35" s="19"/>
      <c r="AC35" s="64">
        <f>+((AC42+AA42)/2)*AC52</f>
        <v>5085.0688</v>
      </c>
      <c r="AD35" s="64">
        <f>+((AD42+AC42)/2)*AD52</f>
        <v>5081.8518710399994</v>
      </c>
      <c r="AE35" s="64">
        <f t="shared" ref="AE35:AF35" si="71">+((AE42+AD42)/2)*AE52</f>
        <v>5517.2394452710059</v>
      </c>
      <c r="AF35" s="64">
        <f t="shared" si="71"/>
        <v>7109.3925052621244</v>
      </c>
      <c r="AG35" s="19"/>
    </row>
    <row r="36" spans="1:33" outlineLevel="1" x14ac:dyDescent="0.3">
      <c r="A36" s="138"/>
      <c r="B36" s="70" t="s">
        <v>76</v>
      </c>
      <c r="C36" s="74"/>
      <c r="D36" s="64">
        <v>862</v>
      </c>
      <c r="E36" s="64">
        <v>1025</v>
      </c>
      <c r="F36" s="64">
        <v>1154</v>
      </c>
      <c r="G36" s="64">
        <v>1349</v>
      </c>
      <c r="H36" s="19"/>
      <c r="I36" s="64">
        <v>1375</v>
      </c>
      <c r="J36" s="64">
        <v>1569</v>
      </c>
      <c r="K36" s="64">
        <v>1760</v>
      </c>
      <c r="L36" s="64">
        <v>2059</v>
      </c>
      <c r="M36" s="19"/>
      <c r="N36" s="64">
        <v>2091</v>
      </c>
      <c r="O36" s="64">
        <v>2316</v>
      </c>
      <c r="P36" s="64">
        <v>2422</v>
      </c>
      <c r="Q36" s="64">
        <v>2759</v>
      </c>
      <c r="R36" s="19"/>
      <c r="S36" s="64">
        <v>2682</v>
      </c>
      <c r="T36" s="64">
        <v>3012</v>
      </c>
      <c r="U36" s="64">
        <v>3267</v>
      </c>
      <c r="V36" s="64">
        <v>3665</v>
      </c>
      <c r="W36" s="19"/>
      <c r="X36" s="64">
        <v>3257</v>
      </c>
      <c r="Y36" s="64">
        <f>+((Y44+X44)/2)*Y54</f>
        <v>3253.0129519999996</v>
      </c>
      <c r="Z36" s="64">
        <f t="shared" ref="Z36:AA36" si="72">+((Z44+Y44)/2)*Z54</f>
        <v>3789.1986300000008</v>
      </c>
      <c r="AA36" s="64">
        <f t="shared" si="72"/>
        <v>4350.1578120000004</v>
      </c>
      <c r="AB36" s="19"/>
      <c r="AC36" s="64">
        <f>+((AC44+AA44)/2)*AC54</f>
        <v>4376.3183640000007</v>
      </c>
      <c r="AD36" s="64">
        <f>+((AD44+AC44)/2)*AD54</f>
        <v>4401.3265240560004</v>
      </c>
      <c r="AE36" s="64">
        <f t="shared" ref="AE36:AF36" si="73">+((AE44+AD44)/2)*AE54</f>
        <v>5191.9701926400012</v>
      </c>
      <c r="AF36" s="64">
        <f t="shared" si="73"/>
        <v>6063.3690925500014</v>
      </c>
      <c r="AG36" s="19"/>
    </row>
    <row r="37" spans="1:33" ht="16.2" outlineLevel="1" x14ac:dyDescent="0.45">
      <c r="A37" s="138"/>
      <c r="B37" s="70" t="s">
        <v>77</v>
      </c>
      <c r="C37" s="71"/>
      <c r="D37" s="99">
        <v>473</v>
      </c>
      <c r="E37" s="99">
        <v>614</v>
      </c>
      <c r="F37" s="99">
        <v>692</v>
      </c>
      <c r="G37" s="99">
        <v>839</v>
      </c>
      <c r="H37" s="19"/>
      <c r="I37" s="99">
        <v>784</v>
      </c>
      <c r="J37" s="99">
        <v>954</v>
      </c>
      <c r="K37" s="99">
        <v>1054</v>
      </c>
      <c r="L37" s="99">
        <v>1271</v>
      </c>
      <c r="M37" s="19"/>
      <c r="N37" s="99">
        <v>1172</v>
      </c>
      <c r="O37" s="99">
        <v>1362</v>
      </c>
      <c r="P37" s="99">
        <v>1325</v>
      </c>
      <c r="Q37" s="99">
        <v>1571</v>
      </c>
      <c r="R37" s="19"/>
      <c r="S37" s="99">
        <v>1437</v>
      </c>
      <c r="T37" s="99">
        <v>1650</v>
      </c>
      <c r="U37" s="99">
        <v>1774</v>
      </c>
      <c r="V37" s="99">
        <v>2010</v>
      </c>
      <c r="W37" s="19"/>
      <c r="X37" s="99">
        <v>1664</v>
      </c>
      <c r="Y37" s="99">
        <f>+((Y46+X46)/2)*Y56</f>
        <v>1794.1411739999996</v>
      </c>
      <c r="Z37" s="99">
        <f t="shared" ref="Z37:AA37" si="74">+((Z46+Y46)/2)*Z56</f>
        <v>1969.7646246986524</v>
      </c>
      <c r="AA37" s="99">
        <f t="shared" si="74"/>
        <v>2284.8720480546313</v>
      </c>
      <c r="AB37" s="19"/>
      <c r="AC37" s="99">
        <f>+((AC46+AA46)/2)*AC56</f>
        <v>2025.9937243655934</v>
      </c>
      <c r="AD37" s="99">
        <f>+((AD46+AC46)/2)*AD56</f>
        <v>2209.8436840157997</v>
      </c>
      <c r="AE37" s="99">
        <f t="shared" ref="AE37:AF37" si="75">+((AE46+AD46)/2)*AE56</f>
        <v>2576.0783663958186</v>
      </c>
      <c r="AF37" s="99">
        <f t="shared" si="75"/>
        <v>3071.397595069514</v>
      </c>
      <c r="AG37" s="19"/>
    </row>
    <row r="38" spans="1:33" s="92" customFormat="1" outlineLevel="1" x14ac:dyDescent="0.3">
      <c r="A38" s="139"/>
      <c r="B38" s="90" t="s">
        <v>19</v>
      </c>
      <c r="C38" s="72"/>
      <c r="D38" s="100">
        <f>SUM(D34:D37)</f>
        <v>5382</v>
      </c>
      <c r="E38" s="100">
        <f t="shared" ref="E38:G38" si="76">SUM(E34:E37)</f>
        <v>6436</v>
      </c>
      <c r="F38" s="100">
        <f t="shared" si="76"/>
        <v>7011</v>
      </c>
      <c r="G38" s="100">
        <f t="shared" si="76"/>
        <v>8809</v>
      </c>
      <c r="H38" s="91"/>
      <c r="I38" s="100">
        <f>SUM(I34:I37)</f>
        <v>8032</v>
      </c>
      <c r="J38" s="100">
        <f t="shared" ref="J38:L38" si="77">SUM(J34:J37)</f>
        <v>9321</v>
      </c>
      <c r="K38" s="100">
        <f t="shared" si="77"/>
        <v>10328</v>
      </c>
      <c r="L38" s="100">
        <f t="shared" si="77"/>
        <v>12972</v>
      </c>
      <c r="M38" s="91"/>
      <c r="N38" s="100">
        <f>SUM(N34:N37)</f>
        <v>11966</v>
      </c>
      <c r="O38" s="100">
        <f t="shared" ref="O38" si="78">SUM(O34:O37)</f>
        <v>13231</v>
      </c>
      <c r="P38" s="100">
        <f t="shared" ref="P38" si="79">SUM(P34:P37)</f>
        <v>13727</v>
      </c>
      <c r="Q38" s="100">
        <f t="shared" ref="Q38" si="80">SUM(Q34:Q37)</f>
        <v>16914</v>
      </c>
      <c r="R38" s="91"/>
      <c r="S38" s="100">
        <f>SUM(S34:S37)</f>
        <v>15077</v>
      </c>
      <c r="T38" s="100">
        <f>SUM(T34:T37)</f>
        <v>16886</v>
      </c>
      <c r="U38" s="100">
        <f t="shared" ref="U38" si="81">SUM(U34:U37)</f>
        <v>17652</v>
      </c>
      <c r="V38" s="100">
        <f t="shared" ref="V38" si="82">SUM(V34:V37)</f>
        <v>21082</v>
      </c>
      <c r="W38" s="91"/>
      <c r="X38" s="100">
        <f>SUM(X34:X37)</f>
        <v>17737</v>
      </c>
      <c r="Y38" s="100">
        <f>SUM(Y34:Y37)</f>
        <v>17321.126221999999</v>
      </c>
      <c r="Z38" s="100">
        <f t="shared" ref="Z38:AA38" si="83">SUM(Z34:Z37)</f>
        <v>18940.329719553349</v>
      </c>
      <c r="AA38" s="100">
        <f t="shared" si="83"/>
        <v>23428.073117319258</v>
      </c>
      <c r="AB38" s="91"/>
      <c r="AC38" s="100">
        <f>SUM(AC34:AC37)</f>
        <v>22142.045684365592</v>
      </c>
      <c r="AD38" s="100">
        <f>SUM(AD34:AD37)</f>
        <v>21800.725652052599</v>
      </c>
      <c r="AE38" s="100">
        <f t="shared" ref="AE38:AF38" si="84">SUM(AE34:AE37)</f>
        <v>24272.99242115995</v>
      </c>
      <c r="AF38" s="100">
        <f t="shared" si="84"/>
        <v>30150.963363194522</v>
      </c>
      <c r="AG38" s="91"/>
    </row>
    <row r="39" spans="1:33" ht="17.399999999999999" x14ac:dyDescent="0.45">
      <c r="A39" s="138"/>
      <c r="B39" s="204" t="s">
        <v>85</v>
      </c>
      <c r="C39" s="205"/>
      <c r="D39" s="27" t="s">
        <v>48</v>
      </c>
      <c r="E39" s="27" t="s">
        <v>49</v>
      </c>
      <c r="F39" s="27" t="s">
        <v>50</v>
      </c>
      <c r="G39" s="27" t="s">
        <v>51</v>
      </c>
      <c r="H39" s="80" t="s">
        <v>52</v>
      </c>
      <c r="I39" s="27" t="s">
        <v>39</v>
      </c>
      <c r="J39" s="27" t="s">
        <v>40</v>
      </c>
      <c r="K39" s="27" t="s">
        <v>41</v>
      </c>
      <c r="L39" s="27" t="s">
        <v>42</v>
      </c>
      <c r="M39" s="80" t="s">
        <v>43</v>
      </c>
      <c r="N39" s="27" t="s">
        <v>30</v>
      </c>
      <c r="O39" s="27" t="s">
        <v>29</v>
      </c>
      <c r="P39" s="27" t="s">
        <v>28</v>
      </c>
      <c r="Q39" s="27" t="s">
        <v>27</v>
      </c>
      <c r="R39" s="80" t="s">
        <v>26</v>
      </c>
      <c r="S39" s="27" t="s">
        <v>140</v>
      </c>
      <c r="T39" s="27" t="s">
        <v>146</v>
      </c>
      <c r="U39" s="27" t="s">
        <v>147</v>
      </c>
      <c r="V39" s="27" t="s">
        <v>148</v>
      </c>
      <c r="W39" s="80" t="s">
        <v>149</v>
      </c>
      <c r="X39" s="27" t="s">
        <v>150</v>
      </c>
      <c r="Y39" s="25" t="s">
        <v>105</v>
      </c>
      <c r="Z39" s="25" t="s">
        <v>106</v>
      </c>
      <c r="AA39" s="25" t="s">
        <v>107</v>
      </c>
      <c r="AB39" s="82" t="s">
        <v>108</v>
      </c>
      <c r="AC39" s="25" t="s">
        <v>109</v>
      </c>
      <c r="AD39" s="25" t="s">
        <v>110</v>
      </c>
      <c r="AE39" s="25" t="s">
        <v>111</v>
      </c>
      <c r="AF39" s="25" t="s">
        <v>112</v>
      </c>
      <c r="AG39" s="82" t="s">
        <v>113</v>
      </c>
    </row>
    <row r="40" spans="1:33" ht="15.6" outlineLevel="1" x14ac:dyDescent="0.3">
      <c r="A40" s="138"/>
      <c r="B40" s="70" t="s">
        <v>114</v>
      </c>
      <c r="C40" s="93"/>
      <c r="D40" s="29">
        <v>222</v>
      </c>
      <c r="E40" s="29">
        <v>226</v>
      </c>
      <c r="F40" s="29">
        <v>229</v>
      </c>
      <c r="G40" s="29">
        <v>231</v>
      </c>
      <c r="H40" s="49"/>
      <c r="I40" s="29">
        <v>234</v>
      </c>
      <c r="J40" s="29">
        <v>236</v>
      </c>
      <c r="K40" s="29">
        <v>239</v>
      </c>
      <c r="L40" s="29">
        <v>239</v>
      </c>
      <c r="M40" s="19"/>
      <c r="N40" s="29">
        <v>241</v>
      </c>
      <c r="O40" s="29">
        <v>241</v>
      </c>
      <c r="P40" s="29">
        <v>242</v>
      </c>
      <c r="Q40" s="29">
        <v>242</v>
      </c>
      <c r="R40" s="19"/>
      <c r="S40" s="29">
        <v>243</v>
      </c>
      <c r="T40" s="29">
        <v>244</v>
      </c>
      <c r="U40" s="29">
        <v>247</v>
      </c>
      <c r="V40" s="29">
        <v>248</v>
      </c>
      <c r="W40" s="19"/>
      <c r="X40" s="29">
        <v>253</v>
      </c>
      <c r="Y40" s="29">
        <f t="shared" ref="Y40" si="85">T40*(1+Y41)</f>
        <v>253.76000000000002</v>
      </c>
      <c r="Z40" s="29">
        <f t="shared" ref="Z40" si="86">U40*(1+Z41)</f>
        <v>254.41</v>
      </c>
      <c r="AA40" s="29">
        <f t="shared" ref="AA40" si="87">V40*(1+AA41)</f>
        <v>252.96</v>
      </c>
      <c r="AB40" s="19"/>
      <c r="AC40" s="29">
        <f>X40*(1+AC41)</f>
        <v>258.06</v>
      </c>
      <c r="AD40" s="29">
        <f t="shared" ref="AD40" si="88">Y40*(1+AD41)</f>
        <v>260.73840000000001</v>
      </c>
      <c r="AE40" s="29">
        <f t="shared" ref="AE40" si="89">Z40*(1+AE41)</f>
        <v>260.61124375000003</v>
      </c>
      <c r="AF40" s="29">
        <f t="shared" ref="AF40" si="90">AA40*(1+AF41)</f>
        <v>258.77017499999999</v>
      </c>
      <c r="AG40" s="19"/>
    </row>
    <row r="41" spans="1:33" ht="15.6" outlineLevel="1" x14ac:dyDescent="0.3">
      <c r="A41" s="138"/>
      <c r="B41" s="47" t="s">
        <v>81</v>
      </c>
      <c r="C41" s="93"/>
      <c r="D41" s="29"/>
      <c r="E41" s="29"/>
      <c r="F41" s="29"/>
      <c r="G41" s="29"/>
      <c r="H41" s="49"/>
      <c r="I41" s="55">
        <f>+I40/D40-1</f>
        <v>5.4054054054053946E-2</v>
      </c>
      <c r="J41" s="55">
        <f>+J40/E40-1</f>
        <v>4.4247787610619538E-2</v>
      </c>
      <c r="K41" s="55">
        <f>+K40/F40-1</f>
        <v>4.366812227074246E-2</v>
      </c>
      <c r="L41" s="55">
        <f>+L40/G40-1</f>
        <v>3.463203463203457E-2</v>
      </c>
      <c r="M41" s="19"/>
      <c r="N41" s="55">
        <f>+N40/I40-1</f>
        <v>2.9914529914529808E-2</v>
      </c>
      <c r="O41" s="55">
        <f>+O40/J40-1</f>
        <v>2.1186440677966045E-2</v>
      </c>
      <c r="P41" s="55">
        <f>+P40/K40-1</f>
        <v>1.2552301255230214E-2</v>
      </c>
      <c r="Q41" s="55">
        <f>+Q40/L40-1</f>
        <v>1.2552301255230214E-2</v>
      </c>
      <c r="R41" s="19"/>
      <c r="S41" s="140">
        <f>+S40/N40-1</f>
        <v>8.2987551867219622E-3</v>
      </c>
      <c r="T41" s="55">
        <f>+T40/O40-1</f>
        <v>1.2448132780082943E-2</v>
      </c>
      <c r="U41" s="55">
        <f>+U40/P40-1</f>
        <v>2.0661157024793431E-2</v>
      </c>
      <c r="V41" s="55">
        <f>+V40/Q40-1</f>
        <v>2.4793388429751984E-2</v>
      </c>
      <c r="W41" s="19"/>
      <c r="X41" s="140">
        <f>+X40/S40-1</f>
        <v>4.1152263374485631E-2</v>
      </c>
      <c r="Y41" s="59">
        <v>0.04</v>
      </c>
      <c r="Z41" s="59">
        <v>0.03</v>
      </c>
      <c r="AA41" s="59">
        <v>0.02</v>
      </c>
      <c r="AB41" s="19"/>
      <c r="AC41" s="59">
        <v>0.02</v>
      </c>
      <c r="AD41" s="59">
        <f>AVERAGE(Y41,Z41,AA41,AC41)</f>
        <v>2.7500000000000004E-2</v>
      </c>
      <c r="AE41" s="59">
        <f>AVERAGE(Z41,AA41,AC41,AD41)</f>
        <v>2.4375000000000001E-2</v>
      </c>
      <c r="AF41" s="59">
        <f>AVERAGE(AA41,AC41,AD41,AE41)</f>
        <v>2.2968750000000003E-2</v>
      </c>
      <c r="AG41" s="19"/>
    </row>
    <row r="42" spans="1:33" outlineLevel="1" x14ac:dyDescent="0.3">
      <c r="A42" s="138"/>
      <c r="B42" s="56" t="s">
        <v>116</v>
      </c>
      <c r="C42" s="94"/>
      <c r="D42" s="29">
        <v>333</v>
      </c>
      <c r="E42" s="29">
        <v>338</v>
      </c>
      <c r="F42" s="29">
        <v>342</v>
      </c>
      <c r="G42" s="29">
        <v>349</v>
      </c>
      <c r="H42" s="19"/>
      <c r="I42" s="29">
        <v>354</v>
      </c>
      <c r="J42" s="29">
        <v>360</v>
      </c>
      <c r="K42" s="29">
        <v>364</v>
      </c>
      <c r="L42" s="29">
        <v>370</v>
      </c>
      <c r="M42" s="19"/>
      <c r="N42" s="29">
        <v>377</v>
      </c>
      <c r="O42" s="29">
        <v>376</v>
      </c>
      <c r="P42" s="29">
        <v>375</v>
      </c>
      <c r="Q42" s="29">
        <v>381</v>
      </c>
      <c r="R42" s="19"/>
      <c r="S42" s="133">
        <v>384</v>
      </c>
      <c r="T42" s="29">
        <v>385</v>
      </c>
      <c r="U42" s="29">
        <v>387</v>
      </c>
      <c r="V42" s="29">
        <v>394</v>
      </c>
      <c r="W42" s="19"/>
      <c r="X42" s="29">
        <v>406</v>
      </c>
      <c r="Y42" s="29">
        <f t="shared" ref="Y42" si="91">T42*(1+Y43)</f>
        <v>408.1</v>
      </c>
      <c r="Z42" s="29">
        <f t="shared" ref="Z42" si="92">U42*(1+Z43)</f>
        <v>398.61</v>
      </c>
      <c r="AA42" s="29">
        <f t="shared" ref="AA42" si="93">V42*(1+AA43)</f>
        <v>405.82</v>
      </c>
      <c r="AB42" s="19"/>
      <c r="AC42" s="29">
        <f>X42*(1+AC43)</f>
        <v>418.18</v>
      </c>
      <c r="AD42" s="29">
        <f t="shared" ref="AD42" si="94">Y42*(1+AD43)</f>
        <v>420.34300000000002</v>
      </c>
      <c r="AE42" s="29">
        <f t="shared" ref="AE42" si="95">Z42*(1+AE43)</f>
        <v>410.56830000000002</v>
      </c>
      <c r="AF42" s="29">
        <f t="shared" ref="AF42" si="96">AA42*(1+AF43)</f>
        <v>417.99459999999999</v>
      </c>
      <c r="AG42" s="19"/>
    </row>
    <row r="43" spans="1:33" outlineLevel="1" x14ac:dyDescent="0.3">
      <c r="A43" s="138"/>
      <c r="B43" s="47" t="s">
        <v>82</v>
      </c>
      <c r="C43" s="94"/>
      <c r="D43" s="29"/>
      <c r="E43" s="29"/>
      <c r="F43" s="29"/>
      <c r="G43" s="29"/>
      <c r="H43" s="19"/>
      <c r="I43" s="55">
        <f>+I42/D42-1</f>
        <v>6.3063063063063085E-2</v>
      </c>
      <c r="J43" s="55">
        <f>+J42/E42-1</f>
        <v>6.5088757396449815E-2</v>
      </c>
      <c r="K43" s="55">
        <f>+K42/F42-1</f>
        <v>6.4327485380117011E-2</v>
      </c>
      <c r="L43" s="55">
        <f>+L42/G42-1</f>
        <v>6.0171919770773741E-2</v>
      </c>
      <c r="M43" s="19"/>
      <c r="N43" s="55">
        <f>+N42/I42-1</f>
        <v>6.4971751412429279E-2</v>
      </c>
      <c r="O43" s="55">
        <f>+O42/J42-1</f>
        <v>4.4444444444444509E-2</v>
      </c>
      <c r="P43" s="55">
        <f>+P42/K42-1</f>
        <v>3.0219780219780112E-2</v>
      </c>
      <c r="Q43" s="55">
        <f>+Q42/L42-1</f>
        <v>2.9729729729729648E-2</v>
      </c>
      <c r="R43" s="19"/>
      <c r="S43" s="140">
        <f>+S42/N42-1</f>
        <v>1.8567639257294433E-2</v>
      </c>
      <c r="T43" s="55">
        <f>+T42/O42-1</f>
        <v>2.3936170212766061E-2</v>
      </c>
      <c r="U43" s="55">
        <f>+U42/P42-1</f>
        <v>3.2000000000000028E-2</v>
      </c>
      <c r="V43" s="55">
        <f>+V42/Q42-1</f>
        <v>3.4120734908136496E-2</v>
      </c>
      <c r="W43" s="19"/>
      <c r="X43" s="140">
        <f>+X42/S42-1</f>
        <v>5.7291666666666741E-2</v>
      </c>
      <c r="Y43" s="59">
        <v>0.06</v>
      </c>
      <c r="Z43" s="59">
        <v>0.03</v>
      </c>
      <c r="AA43" s="59">
        <v>0.03</v>
      </c>
      <c r="AB43" s="19"/>
      <c r="AC43" s="59">
        <v>0.03</v>
      </c>
      <c r="AD43" s="59">
        <v>0.03</v>
      </c>
      <c r="AE43" s="59">
        <f>AVERAGE(Z43,AA43,AC43,AD43)</f>
        <v>0.03</v>
      </c>
      <c r="AF43" s="59">
        <f>AVERAGE(AA43,AC43,AD43,AE43)</f>
        <v>0.03</v>
      </c>
      <c r="AG43" s="19"/>
    </row>
    <row r="44" spans="1:33" outlineLevel="1" x14ac:dyDescent="0.3">
      <c r="A44" s="138"/>
      <c r="B44" s="56" t="s">
        <v>78</v>
      </c>
      <c r="C44" s="94"/>
      <c r="D44" s="29">
        <v>566</v>
      </c>
      <c r="E44" s="29">
        <v>592</v>
      </c>
      <c r="F44" s="29">
        <v>629</v>
      </c>
      <c r="G44" s="29">
        <v>673.4</v>
      </c>
      <c r="H44" s="22"/>
      <c r="I44" s="29">
        <v>716</v>
      </c>
      <c r="J44" s="29">
        <v>756</v>
      </c>
      <c r="K44" s="29">
        <v>794</v>
      </c>
      <c r="L44" s="29">
        <v>828</v>
      </c>
      <c r="M44" s="22"/>
      <c r="N44" s="29">
        <v>873</v>
      </c>
      <c r="O44" s="29">
        <v>894</v>
      </c>
      <c r="P44" s="29">
        <v>917</v>
      </c>
      <c r="Q44" s="29">
        <v>947</v>
      </c>
      <c r="R44" s="22"/>
      <c r="S44" s="133">
        <v>981</v>
      </c>
      <c r="T44" s="29">
        <v>1003</v>
      </c>
      <c r="U44" s="29">
        <v>1013</v>
      </c>
      <c r="V44" s="29">
        <v>1038.4000000000001</v>
      </c>
      <c r="W44" s="24"/>
      <c r="X44" s="29">
        <v>1093</v>
      </c>
      <c r="Y44" s="29">
        <f t="shared" ref="Y44" si="97">T44*(1+Y45)</f>
        <v>1113.3300000000002</v>
      </c>
      <c r="Z44" s="29">
        <f t="shared" ref="Z44" si="98">U44*(1+Z45)</f>
        <v>1114.3000000000002</v>
      </c>
      <c r="AA44" s="29">
        <f t="shared" ref="AA44" si="99">V44*(1+AA45)</f>
        <v>1142.2400000000002</v>
      </c>
      <c r="AB44" s="22"/>
      <c r="AC44" s="29">
        <f>X44*(1+AC45)</f>
        <v>1202.3000000000002</v>
      </c>
      <c r="AD44" s="29">
        <f t="shared" ref="AD44" si="100">Y44*(1+AD45)</f>
        <v>1224.6630000000002</v>
      </c>
      <c r="AE44" s="29">
        <f t="shared" ref="AE44" si="101">Z44*(1+AE45)</f>
        <v>1236.8730000000003</v>
      </c>
      <c r="AF44" s="29">
        <f t="shared" ref="AF44" si="102">AA44*(1+AF45)</f>
        <v>1279.3088000000005</v>
      </c>
      <c r="AG44" s="22"/>
    </row>
    <row r="45" spans="1:33" outlineLevel="1" x14ac:dyDescent="0.3">
      <c r="A45" s="138"/>
      <c r="B45" s="47" t="s">
        <v>83</v>
      </c>
      <c r="C45" s="94"/>
      <c r="D45" s="29"/>
      <c r="E45" s="29"/>
      <c r="F45" s="29"/>
      <c r="G45" s="29"/>
      <c r="H45" s="22"/>
      <c r="I45" s="55">
        <f>+I44/D44-1</f>
        <v>0.26501766784452307</v>
      </c>
      <c r="J45" s="55">
        <f>+J44/E44-1</f>
        <v>0.27702702702702697</v>
      </c>
      <c r="K45" s="55">
        <f>+K44/F44-1</f>
        <v>0.26232114467408585</v>
      </c>
      <c r="L45" s="55">
        <f>+L44/G44-1</f>
        <v>0.22958122958122962</v>
      </c>
      <c r="M45" s="22"/>
      <c r="N45" s="55">
        <f>+N44/I44-1</f>
        <v>0.21927374301675973</v>
      </c>
      <c r="O45" s="55">
        <f>+O44/J44-1</f>
        <v>0.18253968253968256</v>
      </c>
      <c r="P45" s="55">
        <f>+P44/K44-1</f>
        <v>0.15491183879093207</v>
      </c>
      <c r="Q45" s="55">
        <f>+Q44/L44-1</f>
        <v>0.143719806763285</v>
      </c>
      <c r="R45" s="22"/>
      <c r="S45" s="140">
        <f>+S44/N44-1</f>
        <v>0.12371134020618557</v>
      </c>
      <c r="T45" s="55">
        <f>+T44/O44-1</f>
        <v>0.12192393736017904</v>
      </c>
      <c r="U45" s="55">
        <f>+U44/P44-1</f>
        <v>0.10468920392584513</v>
      </c>
      <c r="V45" s="55">
        <f>+V44/Q44-1</f>
        <v>9.6515311510031676E-2</v>
      </c>
      <c r="W45" s="24"/>
      <c r="X45" s="140">
        <f>+X44/S44-1</f>
        <v>0.11416921508664624</v>
      </c>
      <c r="Y45" s="59">
        <v>0.11</v>
      </c>
      <c r="Z45" s="59">
        <v>0.1</v>
      </c>
      <c r="AA45" s="59">
        <v>0.1</v>
      </c>
      <c r="AB45" s="19"/>
      <c r="AC45" s="59">
        <v>0.1</v>
      </c>
      <c r="AD45" s="59">
        <v>0.1</v>
      </c>
      <c r="AE45" s="59">
        <v>0.11</v>
      </c>
      <c r="AF45" s="59">
        <v>0.12</v>
      </c>
      <c r="AG45" s="19"/>
    </row>
    <row r="46" spans="1:33" outlineLevel="1" x14ac:dyDescent="0.3">
      <c r="A46" s="138"/>
      <c r="B46" s="56" t="s">
        <v>79</v>
      </c>
      <c r="C46" s="94"/>
      <c r="D46" s="29">
        <v>533</v>
      </c>
      <c r="E46" s="29">
        <v>556</v>
      </c>
      <c r="F46" s="29">
        <v>587</v>
      </c>
      <c r="G46" s="29">
        <v>606.4</v>
      </c>
      <c r="H46" s="19"/>
      <c r="I46" s="29">
        <v>632</v>
      </c>
      <c r="J46" s="29">
        <v>654</v>
      </c>
      <c r="K46" s="29">
        <v>675</v>
      </c>
      <c r="L46" s="29">
        <v>692</v>
      </c>
      <c r="M46" s="19"/>
      <c r="N46" s="29">
        <v>705</v>
      </c>
      <c r="O46" s="29">
        <v>723</v>
      </c>
      <c r="P46" s="29">
        <v>736</v>
      </c>
      <c r="Q46" s="29">
        <v>750</v>
      </c>
      <c r="R46" s="19"/>
      <c r="S46" s="133">
        <v>768</v>
      </c>
      <c r="T46" s="29">
        <v>782</v>
      </c>
      <c r="U46" s="29">
        <v>802</v>
      </c>
      <c r="V46" s="29">
        <v>817.4</v>
      </c>
      <c r="W46" s="19"/>
      <c r="X46" s="29">
        <v>851</v>
      </c>
      <c r="Y46" s="29">
        <f t="shared" ref="Y46" si="103">T46*(1+Y47)</f>
        <v>868.0200000000001</v>
      </c>
      <c r="Z46" s="29">
        <f t="shared" ref="Z46" si="104">U46*(1+Z47)</f>
        <v>873.70150602355068</v>
      </c>
      <c r="AA46" s="29">
        <f t="shared" ref="AA46" si="105">V46*(1+AA47)</f>
        <v>890.42303335031704</v>
      </c>
      <c r="AB46" s="19"/>
      <c r="AC46" s="29">
        <f>X46*(1+AC47)</f>
        <v>927.59</v>
      </c>
      <c r="AD46" s="29">
        <f t="shared" ref="AD46" si="106">Y46*(1+AD47)</f>
        <v>946.14180000000022</v>
      </c>
      <c r="AE46" s="29">
        <f t="shared" ref="AE46" si="107">Z46*(1+AE47)</f>
        <v>952.05923194649267</v>
      </c>
      <c r="AF46" s="29">
        <f t="shared" ref="AF46" si="108">AA46*(1+AF47)</f>
        <v>970.3430679560513</v>
      </c>
      <c r="AG46" s="19"/>
    </row>
    <row r="47" spans="1:33" outlineLevel="1" x14ac:dyDescent="0.3">
      <c r="A47" s="138"/>
      <c r="B47" s="47" t="s">
        <v>84</v>
      </c>
      <c r="C47" s="94"/>
      <c r="D47" s="29"/>
      <c r="E47" s="29"/>
      <c r="F47" s="29"/>
      <c r="G47" s="29"/>
      <c r="H47" s="19"/>
      <c r="I47" s="55">
        <f>+I46/D46-1</f>
        <v>0.18574108818011248</v>
      </c>
      <c r="J47" s="55">
        <f>+J46/E46-1</f>
        <v>0.17625899280575541</v>
      </c>
      <c r="K47" s="55">
        <f>+K46/F46-1</f>
        <v>0.14991482112436105</v>
      </c>
      <c r="L47" s="55">
        <f>+L46/G46-1</f>
        <v>0.14116094986807393</v>
      </c>
      <c r="M47" s="19"/>
      <c r="N47" s="55">
        <f>+N46/I46-1</f>
        <v>0.115506329113924</v>
      </c>
      <c r="O47" s="55">
        <f>+O46/J46-1</f>
        <v>0.10550458715596323</v>
      </c>
      <c r="P47" s="55">
        <f>+P46/K46-1</f>
        <v>9.0370370370370434E-2</v>
      </c>
      <c r="Q47" s="55">
        <f>+Q46/L46-1</f>
        <v>8.381502890173409E-2</v>
      </c>
      <c r="R47" s="19"/>
      <c r="S47" s="140">
        <f>+S46/N46-1</f>
        <v>8.9361702127659592E-2</v>
      </c>
      <c r="T47" s="55">
        <f>+T46/O46-1</f>
        <v>8.1604426002766184E-2</v>
      </c>
      <c r="U47" s="55">
        <f>+U46/P46-1</f>
        <v>8.9673913043478271E-2</v>
      </c>
      <c r="V47" s="55">
        <f>+V46/Q46-1</f>
        <v>8.9866666666666539E-2</v>
      </c>
      <c r="W47" s="19"/>
      <c r="X47" s="140">
        <f>+X46/S46-1</f>
        <v>0.10807291666666674</v>
      </c>
      <c r="Y47" s="59">
        <v>0.11</v>
      </c>
      <c r="Z47" s="59">
        <f>AVERAGE(U47,V47,X47,Y47)-1%</f>
        <v>8.9403374094202889E-2</v>
      </c>
      <c r="AA47" s="59">
        <f>AVERAGE(V47,X47,Y47,Z47)-1%</f>
        <v>8.9335739356884047E-2</v>
      </c>
      <c r="AB47" s="19"/>
      <c r="AC47" s="59">
        <v>0.09</v>
      </c>
      <c r="AD47" s="59">
        <v>0.09</v>
      </c>
      <c r="AE47" s="59">
        <f>AVERAGE(Z47,AA47,AC47,AD47)</f>
        <v>8.9684778362771722E-2</v>
      </c>
      <c r="AF47" s="59">
        <f>AVERAGE(AA47,AC47,AD47,AE47)</f>
        <v>8.9755129429913941E-2</v>
      </c>
      <c r="AG47" s="19"/>
    </row>
    <row r="48" spans="1:33" s="21" customFormat="1" outlineLevel="1" x14ac:dyDescent="0.3">
      <c r="A48" s="141"/>
      <c r="B48" s="78" t="s">
        <v>80</v>
      </c>
      <c r="C48" s="36"/>
      <c r="D48" s="40">
        <f>+D40+D42+D44+D46</f>
        <v>1654</v>
      </c>
      <c r="E48" s="40">
        <f t="shared" ref="E48:G48" si="109">+E40+E42+E44+E46</f>
        <v>1712</v>
      </c>
      <c r="F48" s="40">
        <f t="shared" si="109"/>
        <v>1787</v>
      </c>
      <c r="G48" s="40">
        <f t="shared" si="109"/>
        <v>1859.8000000000002</v>
      </c>
      <c r="H48" s="95"/>
      <c r="I48" s="40">
        <f>+I40+I42+I44+I46</f>
        <v>1936</v>
      </c>
      <c r="J48" s="40">
        <f t="shared" ref="J48:L48" si="110">+J40+J42+J44+J46</f>
        <v>2006</v>
      </c>
      <c r="K48" s="40">
        <f t="shared" si="110"/>
        <v>2072</v>
      </c>
      <c r="L48" s="40">
        <f t="shared" si="110"/>
        <v>2129</v>
      </c>
      <c r="M48" s="95"/>
      <c r="N48" s="40">
        <f>+N40+N42+N44+N46</f>
        <v>2196</v>
      </c>
      <c r="O48" s="40">
        <f t="shared" ref="O48:Q48" si="111">+O40+O42+O44+O46</f>
        <v>2234</v>
      </c>
      <c r="P48" s="40">
        <f t="shared" si="111"/>
        <v>2270</v>
      </c>
      <c r="Q48" s="40">
        <f t="shared" si="111"/>
        <v>2320</v>
      </c>
      <c r="R48" s="95"/>
      <c r="S48" s="40">
        <f>+S40+S42+S44+S46</f>
        <v>2376</v>
      </c>
      <c r="T48" s="40">
        <f t="shared" ref="T48:V48" si="112">+T40+T42+T44+T46</f>
        <v>2414</v>
      </c>
      <c r="U48" s="40">
        <f t="shared" si="112"/>
        <v>2449</v>
      </c>
      <c r="V48" s="40">
        <f t="shared" si="112"/>
        <v>2497.8000000000002</v>
      </c>
      <c r="W48" s="96"/>
      <c r="X48" s="40">
        <f>+X40+X42+X44+X46</f>
        <v>2603</v>
      </c>
      <c r="Y48" s="40">
        <f t="shared" ref="Y48:AA48" si="113">+Y40+Y42+Y44+Y46</f>
        <v>2643.21</v>
      </c>
      <c r="Z48" s="40">
        <f t="shared" si="113"/>
        <v>2641.021506023551</v>
      </c>
      <c r="AA48" s="40">
        <f t="shared" si="113"/>
        <v>2691.4430333503174</v>
      </c>
      <c r="AB48" s="95"/>
      <c r="AC48" s="40">
        <f>+AC40+AC42+AC44+AC46</f>
        <v>2806.13</v>
      </c>
      <c r="AD48" s="40">
        <f t="shared" ref="AD48:AF48" si="114">+AD40+AD42+AD44+AD46</f>
        <v>2851.8862000000004</v>
      </c>
      <c r="AE48" s="40">
        <f t="shared" si="114"/>
        <v>2860.1117756964932</v>
      </c>
      <c r="AF48" s="40">
        <f t="shared" si="114"/>
        <v>2926.4166429560519</v>
      </c>
      <c r="AG48" s="95"/>
    </row>
    <row r="49" spans="1:44" ht="17.399999999999999" x14ac:dyDescent="0.45">
      <c r="A49" s="138"/>
      <c r="B49" s="201" t="s">
        <v>86</v>
      </c>
      <c r="C49" s="202"/>
      <c r="D49" s="27" t="s">
        <v>48</v>
      </c>
      <c r="E49" s="27" t="s">
        <v>49</v>
      </c>
      <c r="F49" s="27" t="s">
        <v>50</v>
      </c>
      <c r="G49" s="27" t="s">
        <v>51</v>
      </c>
      <c r="H49" s="80" t="s">
        <v>52</v>
      </c>
      <c r="I49" s="27" t="s">
        <v>39</v>
      </c>
      <c r="J49" s="27" t="s">
        <v>40</v>
      </c>
      <c r="K49" s="27" t="s">
        <v>41</v>
      </c>
      <c r="L49" s="27" t="s">
        <v>42</v>
      </c>
      <c r="M49" s="80" t="s">
        <v>43</v>
      </c>
      <c r="N49" s="27" t="s">
        <v>30</v>
      </c>
      <c r="O49" s="27" t="s">
        <v>29</v>
      </c>
      <c r="P49" s="27" t="s">
        <v>28</v>
      </c>
      <c r="Q49" s="27" t="s">
        <v>27</v>
      </c>
      <c r="R49" s="80" t="s">
        <v>26</v>
      </c>
      <c r="S49" s="27" t="s">
        <v>140</v>
      </c>
      <c r="T49" s="27" t="s">
        <v>146</v>
      </c>
      <c r="U49" s="27" t="s">
        <v>147</v>
      </c>
      <c r="V49" s="27" t="s">
        <v>148</v>
      </c>
      <c r="W49" s="80" t="s">
        <v>149</v>
      </c>
      <c r="X49" s="27" t="s">
        <v>150</v>
      </c>
      <c r="Y49" s="25" t="s">
        <v>105</v>
      </c>
      <c r="Z49" s="25" t="s">
        <v>106</v>
      </c>
      <c r="AA49" s="25" t="s">
        <v>107</v>
      </c>
      <c r="AB49" s="82" t="s">
        <v>108</v>
      </c>
      <c r="AC49" s="25" t="s">
        <v>109</v>
      </c>
      <c r="AD49" s="25" t="s">
        <v>110</v>
      </c>
      <c r="AE49" s="25" t="s">
        <v>111</v>
      </c>
      <c r="AF49" s="25" t="s">
        <v>112</v>
      </c>
      <c r="AG49" s="82" t="s">
        <v>113</v>
      </c>
    </row>
    <row r="50" spans="1:44" ht="15.6" outlineLevel="1" x14ac:dyDescent="0.3">
      <c r="A50" s="138"/>
      <c r="B50" s="70" t="s">
        <v>115</v>
      </c>
      <c r="C50" s="48"/>
      <c r="D50" s="45">
        <v>12.426303854875284</v>
      </c>
      <c r="E50" s="45">
        <v>14.339285714285714</v>
      </c>
      <c r="F50" s="45">
        <v>15.648351648351648</v>
      </c>
      <c r="G50" s="45">
        <v>19.808695652173913</v>
      </c>
      <c r="H50" s="19"/>
      <c r="I50" s="45">
        <v>17.07</v>
      </c>
      <c r="J50" s="45">
        <v>19.38</v>
      </c>
      <c r="K50" s="45">
        <v>21.2</v>
      </c>
      <c r="L50" s="45">
        <v>26.76</v>
      </c>
      <c r="M50" s="19"/>
      <c r="N50" s="45">
        <v>23.59</v>
      </c>
      <c r="O50" s="45">
        <v>25.91</v>
      </c>
      <c r="P50" s="45">
        <v>27.61</v>
      </c>
      <c r="Q50" s="45">
        <v>34.86</v>
      </c>
      <c r="R50" s="19"/>
      <c r="S50" s="45">
        <v>30.12</v>
      </c>
      <c r="T50" s="45">
        <v>33.270000000000003</v>
      </c>
      <c r="U50" s="45">
        <v>34.549999999999997</v>
      </c>
      <c r="V50" s="45">
        <v>41.41</v>
      </c>
      <c r="W50" s="19"/>
      <c r="X50" s="45">
        <v>34.18</v>
      </c>
      <c r="Y50" s="45">
        <f t="shared" ref="Y50" si="115">T50*(1+Y51)</f>
        <v>31.939200000000003</v>
      </c>
      <c r="Z50" s="45">
        <f t="shared" ref="Z50" si="116">U50*(1+Z51)</f>
        <v>34.549999999999997</v>
      </c>
      <c r="AA50" s="45">
        <f t="shared" ref="AA50" si="117">V50*(1+AA51)</f>
        <v>43.894599999999997</v>
      </c>
      <c r="AB50" s="19"/>
      <c r="AC50" s="45">
        <f>X50*(1+AC51)</f>
        <v>41.699599999999997</v>
      </c>
      <c r="AD50" s="45">
        <f t="shared" ref="AD50" si="118">Y50*(1+AD51)</f>
        <v>38.965824000000005</v>
      </c>
      <c r="AE50" s="45">
        <f t="shared" ref="AE50" si="119">Z50*(1+AE51)</f>
        <v>42.150999999999996</v>
      </c>
      <c r="AF50" s="45">
        <f t="shared" ref="AF50" si="120">AA50*(1+AF51)</f>
        <v>53.551411999999992</v>
      </c>
      <c r="AG50" s="19"/>
    </row>
    <row r="51" spans="1:44" ht="15.6" outlineLevel="1" x14ac:dyDescent="0.3">
      <c r="A51" s="138"/>
      <c r="B51" s="47" t="s">
        <v>141</v>
      </c>
      <c r="C51" s="48"/>
      <c r="D51" s="45"/>
      <c r="E51" s="45"/>
      <c r="F51" s="45"/>
      <c r="G51" s="45"/>
      <c r="H51" s="19"/>
      <c r="I51" s="55">
        <f>+I50/D50-1</f>
        <v>0.373698905109489</v>
      </c>
      <c r="J51" s="55">
        <f t="shared" ref="J51:L51" si="121">+J50/E50-1</f>
        <v>0.35153175591531749</v>
      </c>
      <c r="K51" s="55">
        <f t="shared" si="121"/>
        <v>0.35477528089887644</v>
      </c>
      <c r="L51" s="55">
        <f t="shared" si="121"/>
        <v>0.35092186128182612</v>
      </c>
      <c r="M51" s="19"/>
      <c r="N51" s="55">
        <f>+N50/I50-1</f>
        <v>0.38195664909197413</v>
      </c>
      <c r="O51" s="55">
        <f t="shared" ref="O51" si="122">+O50/J50-1</f>
        <v>0.33694530443756454</v>
      </c>
      <c r="P51" s="55">
        <f t="shared" ref="P51" si="123">+P50/K50-1</f>
        <v>0.3023584905660377</v>
      </c>
      <c r="Q51" s="55">
        <f t="shared" ref="Q51" si="124">+Q50/L50-1</f>
        <v>0.30269058295964113</v>
      </c>
      <c r="R51" s="19"/>
      <c r="S51" s="140">
        <f>+S50/N50-1</f>
        <v>0.27681220856295052</v>
      </c>
      <c r="T51" s="55">
        <f t="shared" ref="T51:V51" si="125">+T50/O50-1</f>
        <v>0.28406020841374002</v>
      </c>
      <c r="U51" s="55">
        <f t="shared" si="125"/>
        <v>0.25135820354943861</v>
      </c>
      <c r="V51" s="55">
        <f t="shared" si="125"/>
        <v>0.18789443488238655</v>
      </c>
      <c r="W51" s="19"/>
      <c r="X51" s="140">
        <f>+X50/S50-1</f>
        <v>0.13479415670650718</v>
      </c>
      <c r="Y51" s="59">
        <v>-0.04</v>
      </c>
      <c r="Z51" s="59">
        <v>0</v>
      </c>
      <c r="AA51" s="59">
        <v>0.06</v>
      </c>
      <c r="AB51" s="19"/>
      <c r="AC51" s="59">
        <v>0.22</v>
      </c>
      <c r="AD51" s="59">
        <v>0.22</v>
      </c>
      <c r="AE51" s="59">
        <v>0.22</v>
      </c>
      <c r="AF51" s="59">
        <v>0.22</v>
      </c>
      <c r="AG51" s="19"/>
    </row>
    <row r="52" spans="1:44" outlineLevel="1" x14ac:dyDescent="0.3">
      <c r="A52" s="138"/>
      <c r="B52" s="70" t="s">
        <v>117</v>
      </c>
      <c r="C52" s="71"/>
      <c r="D52" s="45">
        <v>3.9847560975609757</v>
      </c>
      <c r="E52" s="45">
        <v>4.7242921013412813</v>
      </c>
      <c r="F52" s="45">
        <v>4.7205882352941178</v>
      </c>
      <c r="G52" s="45">
        <v>5.9768451519536905</v>
      </c>
      <c r="H52" s="19"/>
      <c r="I52" s="45">
        <v>5.42</v>
      </c>
      <c r="J52" s="45">
        <v>6.28</v>
      </c>
      <c r="K52" s="45">
        <v>6.85</v>
      </c>
      <c r="L52" s="45">
        <v>8.86</v>
      </c>
      <c r="M52" s="19"/>
      <c r="N52" s="45">
        <v>8.1199999999999992</v>
      </c>
      <c r="O52" s="45">
        <v>8.76</v>
      </c>
      <c r="P52" s="45">
        <v>8.82</v>
      </c>
      <c r="Q52" s="45">
        <v>10.98</v>
      </c>
      <c r="R52" s="19"/>
      <c r="S52" s="142">
        <v>9.5500000000000007</v>
      </c>
      <c r="T52" s="45">
        <v>10.7</v>
      </c>
      <c r="U52" s="45">
        <v>10.68</v>
      </c>
      <c r="V52" s="45">
        <v>13.21</v>
      </c>
      <c r="W52" s="19"/>
      <c r="X52" s="45">
        <v>10.64</v>
      </c>
      <c r="Y52" s="45">
        <f t="shared" ref="Y52" si="126">T52*(1+Y53)</f>
        <v>10.271999999999998</v>
      </c>
      <c r="Z52" s="45">
        <f t="shared" ref="Z52" si="127">U52*(1+Z53)</f>
        <v>10.915272439550019</v>
      </c>
      <c r="AA52" s="45">
        <f t="shared" ref="AA52" si="128">V52*(1+AA53)</f>
        <v>14.066212489003698</v>
      </c>
      <c r="AB52" s="19"/>
      <c r="AC52" s="45">
        <f>X52*(1+AC53)</f>
        <v>12.3424</v>
      </c>
      <c r="AD52" s="45">
        <f t="shared" ref="AD52" si="129">Y52*(1+AD53)</f>
        <v>12.120959999999998</v>
      </c>
      <c r="AE52" s="45">
        <f t="shared" ref="AE52" si="130">Z52*(1+AE53)</f>
        <v>13.279972110792105</v>
      </c>
      <c r="AF52" s="45">
        <f t="shared" ref="AF52" si="131">AA52*(1+AF53)</f>
        <v>17.16077923658451</v>
      </c>
      <c r="AG52" s="19"/>
    </row>
    <row r="53" spans="1:44" outlineLevel="1" x14ac:dyDescent="0.3">
      <c r="A53" s="138"/>
      <c r="B53" s="47" t="s">
        <v>144</v>
      </c>
      <c r="C53" s="71"/>
      <c r="D53" s="45"/>
      <c r="E53" s="45"/>
      <c r="F53" s="45"/>
      <c r="G53" s="45"/>
      <c r="H53" s="19"/>
      <c r="I53" s="55">
        <f>+I52/D52-1</f>
        <v>0.36018362662586068</v>
      </c>
      <c r="J53" s="55">
        <f t="shared" ref="J53" si="132">+J52/E52-1</f>
        <v>0.32929968454258685</v>
      </c>
      <c r="K53" s="55">
        <f t="shared" ref="K53" si="133">+K52/F52-1</f>
        <v>0.45109034267912751</v>
      </c>
      <c r="L53" s="55">
        <f t="shared" ref="L53" si="134">+L52/G52-1</f>
        <v>0.48238740920096834</v>
      </c>
      <c r="M53" s="19"/>
      <c r="N53" s="55">
        <f>+N52/I52-1</f>
        <v>0.49815498154981541</v>
      </c>
      <c r="O53" s="55">
        <f t="shared" ref="O53" si="135">+O52/J52-1</f>
        <v>0.39490445859872603</v>
      </c>
      <c r="P53" s="55">
        <f t="shared" ref="P53" si="136">+P52/K52-1</f>
        <v>0.28759124087591248</v>
      </c>
      <c r="Q53" s="55">
        <f t="shared" ref="Q53" si="137">+Q52/L52-1</f>
        <v>0.23927765237020338</v>
      </c>
      <c r="R53" s="19"/>
      <c r="S53" s="140">
        <f>+S52/N52-1</f>
        <v>0.17610837438423665</v>
      </c>
      <c r="T53" s="55">
        <f t="shared" ref="T53:V53" si="138">+T52/O52-1</f>
        <v>0.22146118721461172</v>
      </c>
      <c r="U53" s="55">
        <f t="shared" si="138"/>
        <v>0.21088435374149661</v>
      </c>
      <c r="V53" s="55">
        <f t="shared" si="138"/>
        <v>0.2030965391621129</v>
      </c>
      <c r="W53" s="19"/>
      <c r="X53" s="140">
        <f>+X52/S52-1</f>
        <v>0.11413612565445019</v>
      </c>
      <c r="Y53" s="59">
        <v>-0.04</v>
      </c>
      <c r="Z53" s="59">
        <f>AVERAGE(U53,V53,X53,Y53)-10%</f>
        <v>2.2029254639514925E-2</v>
      </c>
      <c r="AA53" s="59">
        <f>AVERAGE(V53,X53,Y53,Z53)-1%</f>
        <v>6.4815479864019518E-2</v>
      </c>
      <c r="AB53" s="19"/>
      <c r="AC53" s="59">
        <v>0.16</v>
      </c>
      <c r="AD53" s="59">
        <v>0.18</v>
      </c>
      <c r="AE53" s="59">
        <f>AVERAGE(Z53,AA53,AC53,AD53)+10.9930195170482%</f>
        <v>0.21664137879636561</v>
      </c>
      <c r="AF53" s="59">
        <v>0.22</v>
      </c>
      <c r="AG53" s="19"/>
    </row>
    <row r="54" spans="1:44" outlineLevel="1" x14ac:dyDescent="0.3">
      <c r="A54" s="138"/>
      <c r="B54" s="70" t="s">
        <v>87</v>
      </c>
      <c r="C54" s="71"/>
      <c r="D54" s="45">
        <v>1.5587703435804701</v>
      </c>
      <c r="E54" s="45">
        <v>1.770293609671848</v>
      </c>
      <c r="F54" s="45">
        <v>1.8902538902538903</v>
      </c>
      <c r="G54" s="45">
        <v>2.0715601965601964</v>
      </c>
      <c r="H54" s="19"/>
      <c r="I54" s="45">
        <v>1.98</v>
      </c>
      <c r="J54" s="45">
        <v>2.13</v>
      </c>
      <c r="K54" s="45">
        <v>2.27</v>
      </c>
      <c r="L54" s="45">
        <v>2.54</v>
      </c>
      <c r="M54" s="19"/>
      <c r="N54" s="45">
        <v>2.46</v>
      </c>
      <c r="O54" s="45">
        <v>2.62</v>
      </c>
      <c r="P54" s="45">
        <v>2.67</v>
      </c>
      <c r="Q54" s="45">
        <v>2.96</v>
      </c>
      <c r="R54" s="19"/>
      <c r="S54" s="142">
        <v>2.78</v>
      </c>
      <c r="T54" s="45">
        <v>3.04</v>
      </c>
      <c r="U54" s="45">
        <v>3.24</v>
      </c>
      <c r="V54" s="45">
        <v>3.57</v>
      </c>
      <c r="W54" s="19"/>
      <c r="X54" s="45">
        <v>3.06</v>
      </c>
      <c r="Y54" s="45">
        <f t="shared" ref="Y54" si="139">T54*(1+Y55)</f>
        <v>2.9487999999999999</v>
      </c>
      <c r="Z54" s="45">
        <f t="shared" ref="Z54" si="140">U54*(1+Z55)</f>
        <v>3.4020000000000006</v>
      </c>
      <c r="AA54" s="45">
        <f t="shared" ref="AA54" si="141">V54*(1+AA55)</f>
        <v>3.8555999999999999</v>
      </c>
      <c r="AB54" s="19"/>
      <c r="AC54" s="45">
        <f>X54*(1+AC55)</f>
        <v>3.7332000000000001</v>
      </c>
      <c r="AD54" s="45">
        <f t="shared" ref="AD54" si="142">Y54*(1+AD55)</f>
        <v>3.6270239999999996</v>
      </c>
      <c r="AE54" s="45">
        <f t="shared" ref="AE54" si="143">Z54*(1+AE55)</f>
        <v>4.2184800000000005</v>
      </c>
      <c r="AF54" s="45">
        <f t="shared" ref="AF54" si="144">AA54*(1+AF55)</f>
        <v>4.8194999999999997</v>
      </c>
      <c r="AG54" s="19"/>
    </row>
    <row r="55" spans="1:44" outlineLevel="1" x14ac:dyDescent="0.3">
      <c r="A55" s="138"/>
      <c r="B55" s="47" t="s">
        <v>143</v>
      </c>
      <c r="C55" s="71"/>
      <c r="D55" s="45"/>
      <c r="E55" s="45"/>
      <c r="F55" s="45"/>
      <c r="G55" s="45"/>
      <c r="H55" s="19"/>
      <c r="I55" s="55">
        <f>+I54/D54-1</f>
        <v>0.27023201856148504</v>
      </c>
      <c r="J55" s="55">
        <f t="shared" ref="J55" si="145">+J54/E54-1</f>
        <v>0.20319024390243889</v>
      </c>
      <c r="K55" s="55">
        <f t="shared" ref="K55" si="146">+K54/F54-1</f>
        <v>0.20089688041594456</v>
      </c>
      <c r="L55" s="55">
        <f t="shared" ref="L55" si="147">+L54/G54-1</f>
        <v>0.22612898443291329</v>
      </c>
      <c r="M55" s="19"/>
      <c r="N55" s="55">
        <f>+N54/I54-1</f>
        <v>0.24242424242424243</v>
      </c>
      <c r="O55" s="55">
        <f t="shared" ref="O55" si="148">+O54/J54-1</f>
        <v>0.23004694835680772</v>
      </c>
      <c r="P55" s="55">
        <f t="shared" ref="P55" si="149">+P54/K54-1</f>
        <v>0.17621145374449343</v>
      </c>
      <c r="Q55" s="55">
        <f t="shared" ref="Q55" si="150">+Q54/L54-1</f>
        <v>0.16535433070866135</v>
      </c>
      <c r="R55" s="19"/>
      <c r="S55" s="140">
        <f>+S54/N54-1</f>
        <v>0.13008130081300817</v>
      </c>
      <c r="T55" s="55">
        <f t="shared" ref="T55:V55" si="151">+T54/O54-1</f>
        <v>0.16030534351145032</v>
      </c>
      <c r="U55" s="55">
        <f t="shared" si="151"/>
        <v>0.21348314606741581</v>
      </c>
      <c r="V55" s="55">
        <f t="shared" si="151"/>
        <v>0.20608108108108114</v>
      </c>
      <c r="W55" s="22"/>
      <c r="X55" s="140">
        <f>+X54/S54-1</f>
        <v>0.10071942446043169</v>
      </c>
      <c r="Y55" s="59">
        <v>-0.03</v>
      </c>
      <c r="Z55" s="59">
        <v>0.05</v>
      </c>
      <c r="AA55" s="59">
        <v>0.08</v>
      </c>
      <c r="AB55" s="19"/>
      <c r="AC55" s="59">
        <v>0.22</v>
      </c>
      <c r="AD55" s="59">
        <v>0.23</v>
      </c>
      <c r="AE55" s="59">
        <v>0.24</v>
      </c>
      <c r="AF55" s="59">
        <v>0.25</v>
      </c>
      <c r="AG55" s="19"/>
    </row>
    <row r="56" spans="1:44" outlineLevel="1" x14ac:dyDescent="0.3">
      <c r="A56" s="138"/>
      <c r="B56" s="70" t="s">
        <v>88</v>
      </c>
      <c r="C56" s="71"/>
      <c r="D56" s="45">
        <v>0.90786948176583493</v>
      </c>
      <c r="E56" s="45">
        <v>1.1276400367309458</v>
      </c>
      <c r="F56" s="45">
        <v>1.2108486439195101</v>
      </c>
      <c r="G56" s="45">
        <v>1.4060667001843472</v>
      </c>
      <c r="H56" s="19"/>
      <c r="I56" s="45">
        <v>1.27</v>
      </c>
      <c r="J56" s="45">
        <v>1.48</v>
      </c>
      <c r="K56" s="45">
        <v>1.59</v>
      </c>
      <c r="L56" s="45">
        <v>1.86</v>
      </c>
      <c r="M56" s="19"/>
      <c r="N56" s="45">
        <v>1.68</v>
      </c>
      <c r="O56" s="45">
        <v>1.91</v>
      </c>
      <c r="P56" s="45">
        <v>1.82</v>
      </c>
      <c r="Q56" s="45">
        <v>2.11</v>
      </c>
      <c r="R56" s="19"/>
      <c r="S56" s="142">
        <v>1.89</v>
      </c>
      <c r="T56" s="45">
        <v>2.13</v>
      </c>
      <c r="U56" s="45">
        <v>2.2400000000000002</v>
      </c>
      <c r="V56" s="45">
        <v>2.48</v>
      </c>
      <c r="W56" s="19"/>
      <c r="X56" s="45">
        <v>1.99</v>
      </c>
      <c r="Y56" s="45">
        <f t="shared" ref="Y56" si="152">T56*(1+Y57)</f>
        <v>2.0873999999999997</v>
      </c>
      <c r="Z56" s="45">
        <f t="shared" ref="Z56" si="153">U56*(1+Z57)</f>
        <v>2.2618594509931005</v>
      </c>
      <c r="AA56" s="45">
        <f t="shared" ref="AA56" si="154">V56*(1+AA57)</f>
        <v>2.5903749957081712</v>
      </c>
      <c r="AB56" s="19"/>
      <c r="AC56" s="45">
        <f>X56*(1+AC57)</f>
        <v>2.2288000000000001</v>
      </c>
      <c r="AD56" s="45">
        <f t="shared" ref="AD56" si="155">Y56*(1+AD57)</f>
        <v>2.3587619999999996</v>
      </c>
      <c r="AE56" s="45">
        <f t="shared" ref="AE56" si="156">Z56*(1+AE57)</f>
        <v>2.7142313411917205</v>
      </c>
      <c r="AF56" s="45">
        <f t="shared" ref="AF56" si="157">AA56*(1+AF57)</f>
        <v>3.1953744491724945</v>
      </c>
      <c r="AG56" s="19"/>
    </row>
    <row r="57" spans="1:44" ht="16.2" outlineLevel="1" x14ac:dyDescent="0.45">
      <c r="A57" s="138"/>
      <c r="B57" s="47" t="s">
        <v>142</v>
      </c>
      <c r="C57" s="71"/>
      <c r="D57" s="97"/>
      <c r="E57" s="97"/>
      <c r="F57" s="97"/>
      <c r="G57" s="97"/>
      <c r="H57" s="98"/>
      <c r="I57" s="55">
        <f>+I56/D56-1</f>
        <v>0.39887949260042288</v>
      </c>
      <c r="J57" s="55">
        <f t="shared" ref="J57" si="158">+J56/E56-1</f>
        <v>0.3124755700325732</v>
      </c>
      <c r="K57" s="55">
        <f t="shared" ref="K57" si="159">+K56/F56-1</f>
        <v>0.31312861271676296</v>
      </c>
      <c r="L57" s="55">
        <f t="shared" ref="L57" si="160">+L56/G56-1</f>
        <v>0.32283909415971412</v>
      </c>
      <c r="M57" s="98"/>
      <c r="N57" s="55">
        <f>+N56/I56-1</f>
        <v>0.32283464566929121</v>
      </c>
      <c r="O57" s="55">
        <f t="shared" ref="O57" si="161">+O56/J56-1</f>
        <v>0.29054054054054057</v>
      </c>
      <c r="P57" s="55">
        <f t="shared" ref="P57" si="162">+P56/K56-1</f>
        <v>0.14465408805031443</v>
      </c>
      <c r="Q57" s="55">
        <f t="shared" ref="Q57" si="163">+Q56/L56-1</f>
        <v>0.13440860215053752</v>
      </c>
      <c r="R57" s="98"/>
      <c r="S57" s="140">
        <f>+S56/N56-1</f>
        <v>0.125</v>
      </c>
      <c r="T57" s="55">
        <f t="shared" ref="T57:V57" si="164">+T56/O56-1</f>
        <v>0.11518324607329844</v>
      </c>
      <c r="U57" s="55">
        <f t="shared" si="164"/>
        <v>0.23076923076923084</v>
      </c>
      <c r="V57" s="55">
        <f t="shared" si="164"/>
        <v>0.17535545023696697</v>
      </c>
      <c r="W57" s="98"/>
      <c r="X57" s="140">
        <f>+X56/S56-1</f>
        <v>5.2910052910053018E-2</v>
      </c>
      <c r="Y57" s="59">
        <v>-0.02</v>
      </c>
      <c r="Z57" s="59">
        <f>AVERAGE(U57,V57,X57,Y57)-10%</f>
        <v>9.7586834790626964E-3</v>
      </c>
      <c r="AA57" s="59">
        <f>AVERAGE(V57,X57,Y57,Z57)-1%</f>
        <v>4.4506046656520672E-2</v>
      </c>
      <c r="AB57" s="19"/>
      <c r="AC57" s="59">
        <v>0.12</v>
      </c>
      <c r="AD57" s="59">
        <v>0.13</v>
      </c>
      <c r="AE57" s="59">
        <v>0.2</v>
      </c>
      <c r="AF57" s="59">
        <f>AVERAGE(AA57,AC57,AD57,AE57)+10.9930195170482%</f>
        <v>0.23355670683461216</v>
      </c>
      <c r="AG57" s="19"/>
    </row>
    <row r="58" spans="1:44" outlineLevel="1" x14ac:dyDescent="0.3">
      <c r="A58" s="138"/>
      <c r="B58" s="78" t="s">
        <v>89</v>
      </c>
      <c r="C58" s="71"/>
      <c r="D58" s="43"/>
      <c r="E58" s="43">
        <f>+E38/((D48+E48)/2)</f>
        <v>3.8241235888294711</v>
      </c>
      <c r="F58" s="43">
        <f t="shared" ref="F58:G58" si="165">+F38/((E48+F48)/2)</f>
        <v>4.007430694484138</v>
      </c>
      <c r="G58" s="43">
        <f t="shared" si="165"/>
        <v>4.831084786662279</v>
      </c>
      <c r="H58" s="19"/>
      <c r="I58" s="43">
        <f>+I38/((G48+I48)/2)</f>
        <v>4.2320459455187311</v>
      </c>
      <c r="J58" s="43">
        <f>+J38/((I48+J48)/2)</f>
        <v>4.7290715372907153</v>
      </c>
      <c r="K58" s="43">
        <f t="shared" ref="K58:L58" si="166">+K38/((J48+K48)/2)</f>
        <v>5.0652280529671412</v>
      </c>
      <c r="L58" s="43">
        <f t="shared" si="166"/>
        <v>6.1756724589383483</v>
      </c>
      <c r="M58" s="19"/>
      <c r="N58" s="43">
        <f>+N38/((L48+N48)/2)</f>
        <v>5.5334104046242771</v>
      </c>
      <c r="O58" s="43">
        <f>+O38/((N48+O48)/2)</f>
        <v>5.9733634311512418</v>
      </c>
      <c r="P58" s="43">
        <f t="shared" ref="P58:Q58" si="167">+P38/((O48+P48)/2)</f>
        <v>6.0954706927175843</v>
      </c>
      <c r="Q58" s="43">
        <f t="shared" si="167"/>
        <v>7.3699346405228754</v>
      </c>
      <c r="R58" s="19"/>
      <c r="S58" s="136">
        <f>+S38/((Q48+S48)/2)</f>
        <v>6.4212095400340718</v>
      </c>
      <c r="T58" s="43">
        <f>+T38/((S48+T48)/2)</f>
        <v>7.0505219206680581</v>
      </c>
      <c r="U58" s="43">
        <f t="shared" ref="U58:V58" si="168">+U38/((T48+U48)/2)</f>
        <v>7.2597162245527453</v>
      </c>
      <c r="V58" s="43">
        <f t="shared" si="168"/>
        <v>8.5234899328859051</v>
      </c>
      <c r="W58" s="19"/>
      <c r="X58" s="43">
        <f>+X38/((V48+X48)/2)</f>
        <v>6.954595357590966</v>
      </c>
      <c r="Y58" s="43">
        <f>+Y38/((X48+Y48)/2)</f>
        <v>6.6032912224253311</v>
      </c>
      <c r="Z58" s="43">
        <f t="shared" ref="Z58:AA58" si="169">+Z38/((Y48+Z48)/2)</f>
        <v>7.168622229348987</v>
      </c>
      <c r="AA58" s="43">
        <f t="shared" si="169"/>
        <v>8.7869588046318832</v>
      </c>
      <c r="AB58" s="19"/>
      <c r="AC58" s="43">
        <f>+AC38/((AA48+AC48)/2)</f>
        <v>8.0552074706579528</v>
      </c>
      <c r="AD58" s="43">
        <f>+AD38/((AC48+AD48)/2)</f>
        <v>7.7061375865458279</v>
      </c>
      <c r="AE58" s="43">
        <f t="shared" ref="AE58:AF58" si="170">+AE38/((AD48+AE48)/2)</f>
        <v>8.4989499381607256</v>
      </c>
      <c r="AF58" s="43">
        <f t="shared" si="170"/>
        <v>10.421088840073647</v>
      </c>
      <c r="AG58" s="19"/>
    </row>
    <row r="59" spans="1:44" ht="17.399999999999999" x14ac:dyDescent="0.45">
      <c r="A59" s="138"/>
      <c r="B59" s="201" t="s">
        <v>25</v>
      </c>
      <c r="C59" s="202"/>
      <c r="D59" s="27" t="s">
        <v>48</v>
      </c>
      <c r="E59" s="27" t="s">
        <v>49</v>
      </c>
      <c r="F59" s="27" t="s">
        <v>50</v>
      </c>
      <c r="G59" s="27" t="s">
        <v>51</v>
      </c>
      <c r="H59" s="80" t="s">
        <v>52</v>
      </c>
      <c r="I59" s="27" t="s">
        <v>39</v>
      </c>
      <c r="J59" s="27" t="s">
        <v>40</v>
      </c>
      <c r="K59" s="27" t="s">
        <v>41</v>
      </c>
      <c r="L59" s="27" t="s">
        <v>42</v>
      </c>
      <c r="M59" s="80" t="s">
        <v>43</v>
      </c>
      <c r="N59" s="27" t="s">
        <v>30</v>
      </c>
      <c r="O59" s="27" t="s">
        <v>29</v>
      </c>
      <c r="P59" s="27" t="s">
        <v>28</v>
      </c>
      <c r="Q59" s="27" t="s">
        <v>27</v>
      </c>
      <c r="R59" s="80" t="s">
        <v>26</v>
      </c>
      <c r="S59" s="27" t="s">
        <v>140</v>
      </c>
      <c r="T59" s="27" t="s">
        <v>146</v>
      </c>
      <c r="U59" s="27" t="s">
        <v>147</v>
      </c>
      <c r="V59" s="27" t="s">
        <v>148</v>
      </c>
      <c r="W59" s="80" t="s">
        <v>149</v>
      </c>
      <c r="X59" s="27" t="s">
        <v>150</v>
      </c>
      <c r="Y59" s="25" t="s">
        <v>105</v>
      </c>
      <c r="Z59" s="25" t="s">
        <v>106</v>
      </c>
      <c r="AA59" s="25" t="s">
        <v>107</v>
      </c>
      <c r="AB59" s="82" t="s">
        <v>108</v>
      </c>
      <c r="AC59" s="25" t="s">
        <v>109</v>
      </c>
      <c r="AD59" s="25" t="s">
        <v>110</v>
      </c>
      <c r="AE59" s="25" t="s">
        <v>111</v>
      </c>
      <c r="AF59" s="25" t="s">
        <v>112</v>
      </c>
      <c r="AG59" s="82" t="s">
        <v>113</v>
      </c>
      <c r="AL59" s="182" t="s">
        <v>156</v>
      </c>
      <c r="AM59" s="183"/>
      <c r="AN59" s="183"/>
      <c r="AO59" s="183"/>
      <c r="AP59" s="183"/>
      <c r="AQ59" s="183"/>
      <c r="AR59" s="184"/>
    </row>
    <row r="60" spans="1:44" s="52" customFormat="1" ht="15.6" outlineLevel="1" x14ac:dyDescent="0.3">
      <c r="A60" s="143"/>
      <c r="B60" s="70" t="s">
        <v>18</v>
      </c>
      <c r="C60" s="48"/>
      <c r="D60" s="45">
        <f>+D38-D11</f>
        <v>0</v>
      </c>
      <c r="E60" s="45">
        <f t="shared" ref="E60:G60" si="171">+E38-E11</f>
        <v>0</v>
      </c>
      <c r="F60" s="45">
        <f t="shared" si="171"/>
        <v>0</v>
      </c>
      <c r="G60" s="45">
        <f t="shared" si="171"/>
        <v>0</v>
      </c>
      <c r="H60" s="19"/>
      <c r="I60" s="45">
        <f>+I38-I11</f>
        <v>0</v>
      </c>
      <c r="J60" s="45">
        <f t="shared" ref="J60:L60" si="172">+J38-J11</f>
        <v>0</v>
      </c>
      <c r="K60" s="45">
        <f t="shared" si="172"/>
        <v>0</v>
      </c>
      <c r="L60" s="45">
        <f t="shared" si="172"/>
        <v>0</v>
      </c>
      <c r="M60" s="19"/>
      <c r="N60" s="45">
        <f>+N38-N11</f>
        <v>0</v>
      </c>
      <c r="O60" s="45">
        <f t="shared" ref="O60:Q60" si="173">+O38-O11</f>
        <v>0</v>
      </c>
      <c r="P60" s="45">
        <f t="shared" si="173"/>
        <v>0</v>
      </c>
      <c r="Q60" s="45">
        <f t="shared" si="173"/>
        <v>0</v>
      </c>
      <c r="R60" s="19"/>
      <c r="S60" s="45">
        <f>+S38-S11</f>
        <v>0</v>
      </c>
      <c r="T60" s="45">
        <f t="shared" ref="T60:V60" si="174">+T38-T11</f>
        <v>0</v>
      </c>
      <c r="U60" s="45">
        <f t="shared" si="174"/>
        <v>0</v>
      </c>
      <c r="V60" s="45">
        <f t="shared" si="174"/>
        <v>0</v>
      </c>
      <c r="W60" s="19"/>
      <c r="X60" s="45">
        <f>+X38-X11</f>
        <v>0</v>
      </c>
      <c r="Y60" s="45">
        <f t="shared" ref="Y60:AA60" si="175">+Y38-Y11</f>
        <v>0</v>
      </c>
      <c r="Z60" s="45">
        <f t="shared" si="175"/>
        <v>0</v>
      </c>
      <c r="AA60" s="45">
        <f t="shared" si="175"/>
        <v>0</v>
      </c>
      <c r="AB60" s="19"/>
      <c r="AC60" s="45">
        <f>+AC38-AC11</f>
        <v>0</v>
      </c>
      <c r="AD60" s="45">
        <f t="shared" ref="AD60:AF60" si="176">+AD38-AD11</f>
        <v>0</v>
      </c>
      <c r="AE60" s="45">
        <f t="shared" si="176"/>
        <v>0</v>
      </c>
      <c r="AF60" s="45">
        <f t="shared" si="176"/>
        <v>0</v>
      </c>
      <c r="AG60" s="19"/>
      <c r="AL60" s="185"/>
      <c r="AM60" s="186"/>
      <c r="AN60" s="186"/>
      <c r="AO60" s="186"/>
      <c r="AP60" s="186"/>
      <c r="AQ60" s="186"/>
      <c r="AR60" s="187"/>
    </row>
    <row r="61" spans="1:44" ht="17.399999999999999" x14ac:dyDescent="0.45">
      <c r="A61" s="138"/>
      <c r="B61" s="201" t="s">
        <v>15</v>
      </c>
      <c r="C61" s="202"/>
      <c r="D61" s="27" t="s">
        <v>48</v>
      </c>
      <c r="E61" s="27" t="s">
        <v>49</v>
      </c>
      <c r="F61" s="27" t="s">
        <v>50</v>
      </c>
      <c r="G61" s="27" t="s">
        <v>51</v>
      </c>
      <c r="H61" s="80" t="s">
        <v>52</v>
      </c>
      <c r="I61" s="27" t="s">
        <v>39</v>
      </c>
      <c r="J61" s="27" t="s">
        <v>40</v>
      </c>
      <c r="K61" s="27" t="s">
        <v>41</v>
      </c>
      <c r="L61" s="27" t="s">
        <v>42</v>
      </c>
      <c r="M61" s="80" t="s">
        <v>43</v>
      </c>
      <c r="N61" s="27" t="s">
        <v>30</v>
      </c>
      <c r="O61" s="27" t="s">
        <v>29</v>
      </c>
      <c r="P61" s="27" t="s">
        <v>28</v>
      </c>
      <c r="Q61" s="27" t="s">
        <v>27</v>
      </c>
      <c r="R61" s="80" t="s">
        <v>26</v>
      </c>
      <c r="S61" s="27" t="s">
        <v>140</v>
      </c>
      <c r="T61" s="27" t="s">
        <v>146</v>
      </c>
      <c r="U61" s="27" t="s">
        <v>147</v>
      </c>
      <c r="V61" s="27" t="s">
        <v>148</v>
      </c>
      <c r="W61" s="80" t="s">
        <v>149</v>
      </c>
      <c r="X61" s="27" t="s">
        <v>150</v>
      </c>
      <c r="Y61" s="25" t="s">
        <v>105</v>
      </c>
      <c r="Z61" s="25" t="s">
        <v>106</v>
      </c>
      <c r="AA61" s="25" t="s">
        <v>107</v>
      </c>
      <c r="AB61" s="82" t="s">
        <v>108</v>
      </c>
      <c r="AC61" s="25" t="s">
        <v>109</v>
      </c>
      <c r="AD61" s="25" t="s">
        <v>110</v>
      </c>
      <c r="AE61" s="25" t="s">
        <v>111</v>
      </c>
      <c r="AF61" s="25" t="s">
        <v>112</v>
      </c>
      <c r="AG61" s="82" t="s">
        <v>113</v>
      </c>
      <c r="AL61" s="56" t="s">
        <v>170</v>
      </c>
      <c r="AM61" s="188"/>
      <c r="AN61" s="188"/>
      <c r="AO61" s="188"/>
      <c r="AP61" s="188"/>
      <c r="AQ61" s="188"/>
      <c r="AR61" s="32"/>
    </row>
    <row r="62" spans="1:44" s="42" customFormat="1" outlineLevel="1" x14ac:dyDescent="0.3">
      <c r="A62" s="145"/>
      <c r="B62" s="206" t="s">
        <v>100</v>
      </c>
      <c r="C62" s="207"/>
      <c r="D62" s="55"/>
      <c r="E62" s="55"/>
      <c r="F62" s="55"/>
      <c r="G62" s="55"/>
      <c r="H62" s="53"/>
      <c r="I62" s="55">
        <f t="shared" ref="I62:AG62" si="177">I11/D11-1</f>
        <v>0.49238201412114457</v>
      </c>
      <c r="J62" s="55">
        <f t="shared" si="177"/>
        <v>0.44825978868862637</v>
      </c>
      <c r="K62" s="55">
        <f t="shared" si="177"/>
        <v>0.47311367850520614</v>
      </c>
      <c r="L62" s="55">
        <f t="shared" si="177"/>
        <v>0.47258485639686687</v>
      </c>
      <c r="M62" s="53">
        <f t="shared" si="177"/>
        <v>0.47090961719371882</v>
      </c>
      <c r="N62" s="55">
        <f t="shared" si="177"/>
        <v>0.48979083665338652</v>
      </c>
      <c r="O62" s="55">
        <f t="shared" si="177"/>
        <v>0.41948288810213485</v>
      </c>
      <c r="P62" s="55">
        <f t="shared" si="177"/>
        <v>0.32910534469403574</v>
      </c>
      <c r="Q62" s="55">
        <f t="shared" si="177"/>
        <v>0.30388529139685483</v>
      </c>
      <c r="R62" s="54">
        <f t="shared" si="177"/>
        <v>0.37352716896661997</v>
      </c>
      <c r="S62" s="55">
        <f t="shared" si="177"/>
        <v>0.25998662878154777</v>
      </c>
      <c r="T62" s="55">
        <f t="shared" si="177"/>
        <v>0.2762451817700855</v>
      </c>
      <c r="U62" s="55">
        <f t="shared" si="177"/>
        <v>0.2859328331026445</v>
      </c>
      <c r="V62" s="55">
        <f t="shared" si="177"/>
        <v>0.2464230814709707</v>
      </c>
      <c r="W62" s="54">
        <f t="shared" si="177"/>
        <v>0.26610910132884413</v>
      </c>
      <c r="X62" s="55">
        <f t="shared" si="177"/>
        <v>0.17642767128739134</v>
      </c>
      <c r="Y62" s="55">
        <f t="shared" si="177"/>
        <v>2.5768460381381031E-2</v>
      </c>
      <c r="Z62" s="55">
        <f t="shared" si="177"/>
        <v>7.2984914998490247E-2</v>
      </c>
      <c r="AA62" s="55">
        <f t="shared" si="177"/>
        <v>0.11128323296268183</v>
      </c>
      <c r="AB62" s="53">
        <f t="shared" si="177"/>
        <v>9.5188325655580996E-2</v>
      </c>
      <c r="AC62" s="55">
        <f t="shared" si="177"/>
        <v>0.24835348054155681</v>
      </c>
      <c r="AD62" s="55">
        <f t="shared" si="177"/>
        <v>0.25862056385011201</v>
      </c>
      <c r="AE62" s="55">
        <f t="shared" si="177"/>
        <v>0.28155067945313239</v>
      </c>
      <c r="AF62" s="55">
        <f t="shared" si="177"/>
        <v>0.28695873588107212</v>
      </c>
      <c r="AG62" s="53">
        <f t="shared" si="177"/>
        <v>0.27045249627524703</v>
      </c>
      <c r="AL62" s="56" t="s">
        <v>155</v>
      </c>
      <c r="AM62" s="189"/>
      <c r="AN62" s="189"/>
      <c r="AO62" s="189"/>
      <c r="AP62" s="189"/>
      <c r="AQ62" s="189"/>
      <c r="AR62" s="94"/>
    </row>
    <row r="63" spans="1:44" s="42" customFormat="1" outlineLevel="1" x14ac:dyDescent="0.3">
      <c r="A63" s="145"/>
      <c r="B63" s="206" t="s">
        <v>101</v>
      </c>
      <c r="C63" s="207"/>
      <c r="D63" s="55"/>
      <c r="E63" s="55">
        <f>+E11/D11-1</f>
        <v>0.19583797844667417</v>
      </c>
      <c r="F63" s="55">
        <f t="shared" ref="F63:L63" si="178">+F11/E11-1</f>
        <v>8.9341205717837102E-2</v>
      </c>
      <c r="G63" s="55">
        <f t="shared" si="178"/>
        <v>0.25645414348880324</v>
      </c>
      <c r="H63" s="53"/>
      <c r="I63" s="55">
        <f>+I11/G11-1</f>
        <v>-8.8205244636167524E-2</v>
      </c>
      <c r="J63" s="55">
        <f t="shared" si="178"/>
        <v>0.16048306772908361</v>
      </c>
      <c r="K63" s="55">
        <f t="shared" si="178"/>
        <v>0.10803561849586951</v>
      </c>
      <c r="L63" s="55">
        <f t="shared" si="178"/>
        <v>0.25600309837335389</v>
      </c>
      <c r="M63" s="53"/>
      <c r="N63" s="55">
        <f>+N11/L11-1</f>
        <v>-7.755164970706141E-2</v>
      </c>
      <c r="O63" s="55">
        <f t="shared" ref="O63:Q63" si="179">+O11/N11-1</f>
        <v>0.10571619588835035</v>
      </c>
      <c r="P63" s="55">
        <f t="shared" si="179"/>
        <v>3.7487718237472656E-2</v>
      </c>
      <c r="Q63" s="55">
        <f t="shared" si="179"/>
        <v>0.23217017556640207</v>
      </c>
      <c r="R63" s="54"/>
      <c r="S63" s="55">
        <f>+S11/Q11-1</f>
        <v>-0.10860825351779591</v>
      </c>
      <c r="T63" s="55">
        <f t="shared" ref="T63:V63" si="180">+T11/S11-1</f>
        <v>0.11998408171386887</v>
      </c>
      <c r="U63" s="55">
        <f t="shared" si="180"/>
        <v>4.536302262229075E-2</v>
      </c>
      <c r="V63" s="55">
        <f t="shared" si="180"/>
        <v>0.19431225923408113</v>
      </c>
      <c r="W63" s="54"/>
      <c r="X63" s="55">
        <f>+X11/V11-1</f>
        <v>-0.15866616070581541</v>
      </c>
      <c r="Y63" s="55">
        <f t="shared" ref="Y63:AA63" si="181">+Y11/X11-1</f>
        <v>-2.344668083666912E-2</v>
      </c>
      <c r="Z63" s="55">
        <f t="shared" si="181"/>
        <v>9.3481421288689637E-2</v>
      </c>
      <c r="AA63" s="55">
        <f t="shared" si="181"/>
        <v>0.23694114433144819</v>
      </c>
      <c r="AB63" s="53"/>
      <c r="AC63" s="55">
        <f>+AC11/AA11-1</f>
        <v>-5.4892582352535357E-2</v>
      </c>
      <c r="AD63" s="55">
        <f t="shared" ref="AD63:AF63" si="182">+AD11/AC11-1</f>
        <v>-1.5415017978849033E-2</v>
      </c>
      <c r="AE63" s="55">
        <f t="shared" si="182"/>
        <v>0.11340295770726239</v>
      </c>
      <c r="AF63" s="55">
        <f t="shared" si="182"/>
        <v>0.24216095156485351</v>
      </c>
      <c r="AG63" s="53"/>
      <c r="AL63" s="56" t="s">
        <v>171</v>
      </c>
      <c r="AM63" s="189"/>
      <c r="AN63" s="189"/>
      <c r="AO63" s="189"/>
      <c r="AP63" s="189"/>
      <c r="AQ63" s="189"/>
      <c r="AR63" s="94"/>
    </row>
    <row r="64" spans="1:44" s="42" customFormat="1" outlineLevel="1" x14ac:dyDescent="0.3">
      <c r="A64" s="145"/>
      <c r="B64" s="70" t="s">
        <v>104</v>
      </c>
      <c r="C64" s="71"/>
      <c r="D64" s="55"/>
      <c r="E64" s="55"/>
      <c r="F64" s="55"/>
      <c r="G64" s="55"/>
      <c r="H64" s="53"/>
      <c r="I64" s="55"/>
      <c r="J64" s="55"/>
      <c r="K64" s="55"/>
      <c r="L64" s="55"/>
      <c r="M64" s="53"/>
      <c r="N64" s="112">
        <f>+N82+N11</f>
        <v>11430</v>
      </c>
      <c r="O64" s="112">
        <f>+O82+O11</f>
        <v>12858</v>
      </c>
      <c r="P64" s="112">
        <f>+P82+P11</f>
        <v>13886</v>
      </c>
      <c r="Q64" s="112">
        <f>+Q82+Q11</f>
        <v>17262</v>
      </c>
      <c r="R64" s="54"/>
      <c r="S64" s="29">
        <f>+S82+S11</f>
        <v>15580</v>
      </c>
      <c r="T64" s="29">
        <f>+T82+T11</f>
        <v>17460</v>
      </c>
      <c r="U64" s="29">
        <f>+U82+U11</f>
        <v>17949</v>
      </c>
      <c r="V64" s="29">
        <f>+V82+V11</f>
        <v>21377</v>
      </c>
      <c r="W64" s="30">
        <f>SUM(S64:V64)</f>
        <v>72366</v>
      </c>
      <c r="X64" s="29">
        <f>+X82+X11</f>
        <v>18012</v>
      </c>
      <c r="Y64" s="29">
        <f>+Y82+Y11</f>
        <v>17596.126221999999</v>
      </c>
      <c r="Z64" s="29">
        <f>+Z82+Z11</f>
        <v>19090.329719553349</v>
      </c>
      <c r="AA64" s="29">
        <f>+AA82+AA11</f>
        <v>23528.073117319258</v>
      </c>
      <c r="AB64" s="30">
        <f>SUM(X64:AA64)</f>
        <v>78226.529058872606</v>
      </c>
      <c r="AC64" s="29">
        <f>+AC82+AC11</f>
        <v>22192.045684365592</v>
      </c>
      <c r="AD64" s="29">
        <f>+AD82+AD11</f>
        <v>21850.725652052599</v>
      </c>
      <c r="AE64" s="29">
        <f>+AE82+AE11</f>
        <v>24322.99242115995</v>
      </c>
      <c r="AF64" s="29">
        <f>+AF82+AF11</f>
        <v>30200.963363194522</v>
      </c>
      <c r="AG64" s="30">
        <f>SUM(AC64:AF64)</f>
        <v>98566.727120772659</v>
      </c>
      <c r="AL64" s="190" t="s">
        <v>157</v>
      </c>
      <c r="AM64" s="191"/>
      <c r="AN64" s="191"/>
      <c r="AO64" s="191"/>
      <c r="AP64" s="191"/>
      <c r="AQ64" s="191"/>
      <c r="AR64" s="192"/>
    </row>
    <row r="65" spans="1:45" s="42" customFormat="1" outlineLevel="1" x14ac:dyDescent="0.3">
      <c r="A65" s="145"/>
      <c r="B65" s="206" t="s">
        <v>102</v>
      </c>
      <c r="C65" s="207"/>
      <c r="D65" s="55"/>
      <c r="E65" s="55"/>
      <c r="F65" s="55"/>
      <c r="G65" s="55"/>
      <c r="H65" s="53"/>
      <c r="I65" s="55"/>
      <c r="J65" s="55"/>
      <c r="K65" s="55"/>
      <c r="L65" s="55"/>
      <c r="M65" s="53"/>
      <c r="N65" s="55"/>
      <c r="O65" s="55"/>
      <c r="P65" s="55"/>
      <c r="Q65" s="55"/>
      <c r="R65" s="54">
        <f>+(R11+R82)/(M11+M82)-1</f>
        <v>0.36366319828794924</v>
      </c>
      <c r="S65" s="55">
        <f>+S64/N11-1</f>
        <v>0.30202239679090748</v>
      </c>
      <c r="T65" s="55">
        <f t="shared" ref="T65:V65" si="183">+T64/O11-1</f>
        <v>0.31962814602070888</v>
      </c>
      <c r="U65" s="55">
        <f t="shared" si="183"/>
        <v>0.30756902455015656</v>
      </c>
      <c r="V65" s="55">
        <f t="shared" si="183"/>
        <v>0.26386425446375794</v>
      </c>
      <c r="W65" s="147">
        <f>+W64/R11-1</f>
        <v>0.29599914037035702</v>
      </c>
      <c r="X65" s="55">
        <f>+X64/S11-1</f>
        <v>0.19466737414605029</v>
      </c>
      <c r="Y65" s="55">
        <f t="shared" ref="Y65" si="184">+Y64/T11-1</f>
        <v>4.2054140826720321E-2</v>
      </c>
      <c r="Z65" s="55">
        <f t="shared" ref="Z65" si="185">+Z64/U11-1</f>
        <v>8.1482535664703537E-2</v>
      </c>
      <c r="AA65" s="55">
        <f t="shared" ref="AA65" si="186">+AA64/V11-1</f>
        <v>0.11602661594342378</v>
      </c>
      <c r="AB65" s="147">
        <f>+AB64/W11-1</f>
        <v>0.10650422307697083</v>
      </c>
      <c r="AC65" s="55">
        <f>+AC64/X11-1</f>
        <v>0.25117244654482684</v>
      </c>
      <c r="AD65" s="55">
        <f t="shared" ref="AD65" si="187">+AD64/Y11-1</f>
        <v>0.26150721217535167</v>
      </c>
      <c r="AE65" s="55">
        <f t="shared" ref="AE65" si="188">+AE64/Z11-1</f>
        <v>0.28419054901930907</v>
      </c>
      <c r="AF65" s="55">
        <f t="shared" ref="AF65" si="189">+AF64/AA11-1</f>
        <v>0.28909292761547634</v>
      </c>
      <c r="AG65" s="147">
        <f>+AG64/AB11-1</f>
        <v>0.27303559024098489</v>
      </c>
    </row>
    <row r="66" spans="1:45" s="42" customFormat="1" outlineLevel="1" x14ac:dyDescent="0.3">
      <c r="A66" s="145"/>
      <c r="B66" s="206" t="s">
        <v>103</v>
      </c>
      <c r="C66" s="207"/>
      <c r="D66" s="55"/>
      <c r="E66" s="55"/>
      <c r="F66" s="55"/>
      <c r="G66" s="55"/>
      <c r="H66" s="53"/>
      <c r="I66" s="55"/>
      <c r="J66" s="55"/>
      <c r="K66" s="55"/>
      <c r="L66" s="55"/>
      <c r="M66" s="53"/>
      <c r="N66" s="55"/>
      <c r="O66" s="55"/>
      <c r="P66" s="55"/>
      <c r="Q66" s="55"/>
      <c r="R66" s="54"/>
      <c r="S66" s="55">
        <f>+S64/Q64-1</f>
        <v>-9.7439462402966082E-2</v>
      </c>
      <c r="T66" s="55">
        <f>+T64/S64-1</f>
        <v>0.12066752246469825</v>
      </c>
      <c r="U66" s="55">
        <f t="shared" ref="U66:V66" si="190">+U64/T64-1</f>
        <v>2.8006872852233577E-2</v>
      </c>
      <c r="V66" s="55">
        <f t="shared" si="190"/>
        <v>0.19098557022675355</v>
      </c>
      <c r="W66" s="147"/>
      <c r="X66" s="55"/>
      <c r="Y66" s="55"/>
      <c r="Z66" s="55"/>
      <c r="AA66" s="55"/>
      <c r="AB66" s="53"/>
      <c r="AC66" s="55"/>
      <c r="AD66" s="55"/>
      <c r="AE66" s="55"/>
      <c r="AF66" s="55"/>
      <c r="AG66" s="53"/>
    </row>
    <row r="67" spans="1:45" s="42" customFormat="1" outlineLevel="1" x14ac:dyDescent="0.3">
      <c r="A67" s="145"/>
      <c r="B67" s="70" t="s">
        <v>90</v>
      </c>
      <c r="C67" s="71"/>
      <c r="D67" s="55">
        <f t="shared" ref="D67:R67" si="191">+D13/D11</f>
        <v>0.84429580081753997</v>
      </c>
      <c r="E67" s="55">
        <f t="shared" si="191"/>
        <v>0.8576755748912368</v>
      </c>
      <c r="F67" s="55">
        <f t="shared" si="191"/>
        <v>0.85922122379118526</v>
      </c>
      <c r="G67" s="55">
        <f t="shared" si="191"/>
        <v>0.88103076399137248</v>
      </c>
      <c r="H67" s="53">
        <f t="shared" si="191"/>
        <v>0.86290614371517471</v>
      </c>
      <c r="I67" s="55">
        <f t="shared" si="191"/>
        <v>0.85570219123505975</v>
      </c>
      <c r="J67" s="55">
        <f t="shared" si="191"/>
        <v>0.86728891749812254</v>
      </c>
      <c r="K67" s="55">
        <f t="shared" si="191"/>
        <v>0.85979860573199074</v>
      </c>
      <c r="L67" s="55">
        <f t="shared" si="191"/>
        <v>0.87580943570767811</v>
      </c>
      <c r="M67" s="53">
        <f t="shared" si="191"/>
        <v>0.86581556096721024</v>
      </c>
      <c r="N67" s="55">
        <f t="shared" si="191"/>
        <v>0.8389603877653351</v>
      </c>
      <c r="O67" s="55">
        <f t="shared" si="191"/>
        <v>0.83266570931902351</v>
      </c>
      <c r="P67" s="55">
        <f t="shared" si="191"/>
        <v>0.82385080498288044</v>
      </c>
      <c r="Q67" s="55">
        <f t="shared" si="191"/>
        <v>0.83469315360056762</v>
      </c>
      <c r="R67" s="54">
        <f t="shared" si="191"/>
        <v>0.8324617643898421</v>
      </c>
      <c r="S67" s="144">
        <f>+S13/S11</f>
        <v>0.81322544272733299</v>
      </c>
      <c r="T67" s="55">
        <f t="shared" ref="T67:U67" si="192">+T13/T11</f>
        <v>0.80415729006277392</v>
      </c>
      <c r="U67" s="55">
        <f t="shared" si="192"/>
        <v>0.82126671198731027</v>
      </c>
      <c r="V67" s="55">
        <f t="shared" ref="V67" si="193">+V13/V11</f>
        <v>0.83436106631249407</v>
      </c>
      <c r="W67" s="147">
        <f>+W13/W11</f>
        <v>0.81936998741106415</v>
      </c>
      <c r="X67" s="144">
        <f>+X13/X11</f>
        <v>0.80498393189378137</v>
      </c>
      <c r="Y67" s="60">
        <v>0.78500000000000003</v>
      </c>
      <c r="Z67" s="60">
        <v>0.79500000000000004</v>
      </c>
      <c r="AA67" s="60">
        <v>0.79500000000000004</v>
      </c>
      <c r="AB67" s="54">
        <f>+AB13/AB11</f>
        <v>0.79505003114342188</v>
      </c>
      <c r="AC67" s="60">
        <v>0.80500000000000005</v>
      </c>
      <c r="AD67" s="60">
        <v>0.81499999999999995</v>
      </c>
      <c r="AE67" s="60">
        <v>0.81499999999999995</v>
      </c>
      <c r="AF67" s="60">
        <v>0.81499999999999995</v>
      </c>
      <c r="AG67" s="54">
        <f>+AG13/AG11</f>
        <v>0.81274903096479156</v>
      </c>
    </row>
    <row r="68" spans="1:45" s="42" customFormat="1" outlineLevel="1" x14ac:dyDescent="0.3">
      <c r="A68" s="145"/>
      <c r="B68" s="70" t="s">
        <v>91</v>
      </c>
      <c r="C68" s="71"/>
      <c r="D68" s="55">
        <f t="shared" ref="D68:R68" si="194">+D15/D11</f>
        <v>0.24953548866592346</v>
      </c>
      <c r="E68" s="55">
        <f t="shared" si="194"/>
        <v>0.22731510254816656</v>
      </c>
      <c r="F68" s="55">
        <f t="shared" si="194"/>
        <v>0.21951219512195122</v>
      </c>
      <c r="G68" s="55">
        <f t="shared" si="194"/>
        <v>0.17868089453967534</v>
      </c>
      <c r="H68" s="53">
        <f t="shared" si="194"/>
        <v>0.21416166148057023</v>
      </c>
      <c r="I68" s="55">
        <f t="shared" si="194"/>
        <v>0.22833665338645417</v>
      </c>
      <c r="J68" s="55">
        <f t="shared" si="194"/>
        <v>0.20587919751099668</v>
      </c>
      <c r="K68" s="55">
        <f t="shared" si="194"/>
        <v>0.19868319132455461</v>
      </c>
      <c r="L68" s="55">
        <f t="shared" si="194"/>
        <v>0.15024668516805428</v>
      </c>
      <c r="M68" s="53">
        <f t="shared" si="194"/>
        <v>0.19073623102846038</v>
      </c>
      <c r="N68" s="55">
        <f t="shared" si="194"/>
        <v>0.18702991810128697</v>
      </c>
      <c r="O68" s="55">
        <f t="shared" si="194"/>
        <v>0.19068853450230519</v>
      </c>
      <c r="P68" s="55">
        <f t="shared" si="194"/>
        <v>0.19356013695636337</v>
      </c>
      <c r="Q68" s="55">
        <f t="shared" si="194"/>
        <v>0.16879508099798984</v>
      </c>
      <c r="R68" s="54">
        <f t="shared" si="194"/>
        <v>0.18397865253053475</v>
      </c>
      <c r="S68" s="55">
        <f t="shared" ref="S68:T68" si="195">+S15/S11</f>
        <v>0.1896929097300524</v>
      </c>
      <c r="T68" s="55">
        <f t="shared" si="195"/>
        <v>0.19631647518654508</v>
      </c>
      <c r="U68" s="55">
        <f t="shared" ref="U68:V68" si="196">+U15/U11</f>
        <v>0.20099705415816904</v>
      </c>
      <c r="V68" s="55">
        <f t="shared" si="196"/>
        <v>0.1839009581633621</v>
      </c>
      <c r="W68" s="147"/>
      <c r="X68" s="55">
        <f t="shared" ref="X68" si="197">+X15/X11</f>
        <v>0.22636297006258105</v>
      </c>
      <c r="Y68" s="60">
        <v>0.23</v>
      </c>
      <c r="Z68" s="60">
        <v>0.22</v>
      </c>
      <c r="AA68" s="60">
        <v>0.22</v>
      </c>
      <c r="AB68" s="54"/>
      <c r="AC68" s="60">
        <v>0.23499999999999999</v>
      </c>
      <c r="AD68" s="60">
        <v>0.22</v>
      </c>
      <c r="AE68" s="60">
        <f t="shared" ref="AE68:AF68" si="198">AD68</f>
        <v>0.22</v>
      </c>
      <c r="AF68" s="60">
        <f t="shared" si="198"/>
        <v>0.22</v>
      </c>
      <c r="AG68" s="54"/>
      <c r="AL68" s="182" t="s">
        <v>158</v>
      </c>
      <c r="AM68" s="193"/>
      <c r="AN68" s="193"/>
      <c r="AO68" s="193"/>
      <c r="AP68" s="193"/>
      <c r="AQ68" s="193"/>
      <c r="AR68" s="194"/>
    </row>
    <row r="69" spans="1:45" s="42" customFormat="1" outlineLevel="1" x14ac:dyDescent="0.3">
      <c r="A69" s="145"/>
      <c r="B69" s="70" t="s">
        <v>92</v>
      </c>
      <c r="C69" s="71"/>
      <c r="D69" s="55">
        <f t="shared" ref="D69:R69" si="199">+D16/D11</f>
        <v>0.15347454477889261</v>
      </c>
      <c r="E69" s="55">
        <f t="shared" si="199"/>
        <v>0.1396830329397141</v>
      </c>
      <c r="F69" s="55">
        <f t="shared" si="199"/>
        <v>0.13193552988161461</v>
      </c>
      <c r="G69" s="55">
        <f t="shared" si="199"/>
        <v>0.12736973549778635</v>
      </c>
      <c r="H69" s="53">
        <f t="shared" si="199"/>
        <v>0.13647876112598595</v>
      </c>
      <c r="I69" s="55">
        <f t="shared" si="199"/>
        <v>0.13159860557768924</v>
      </c>
      <c r="J69" s="55">
        <f t="shared" si="199"/>
        <v>0.12058791975109967</v>
      </c>
      <c r="K69" s="55">
        <f t="shared" si="199"/>
        <v>0.11328427575522851</v>
      </c>
      <c r="L69" s="55">
        <f t="shared" si="199"/>
        <v>0.1059204440333025</v>
      </c>
      <c r="M69" s="53">
        <f t="shared" si="199"/>
        <v>0.1162275846800974</v>
      </c>
      <c r="N69" s="55">
        <f t="shared" si="199"/>
        <v>0.13329433394618084</v>
      </c>
      <c r="O69" s="55">
        <f t="shared" si="199"/>
        <v>0.14020104300506386</v>
      </c>
      <c r="P69" s="55">
        <f t="shared" si="199"/>
        <v>0.14045312158519704</v>
      </c>
      <c r="Q69" s="55">
        <f t="shared" si="199"/>
        <v>0.14585550431595129</v>
      </c>
      <c r="R69" s="54">
        <f t="shared" si="199"/>
        <v>0.14049571976073641</v>
      </c>
      <c r="S69" s="55">
        <f t="shared" ref="S69:T69" si="200">+S16/S11</f>
        <v>0.13397890827087616</v>
      </c>
      <c r="T69" s="55">
        <f t="shared" si="200"/>
        <v>0.14295866398199691</v>
      </c>
      <c r="U69" s="55">
        <f t="shared" ref="U69:V69" si="201">+U16/U11</f>
        <v>0.13686834353047814</v>
      </c>
      <c r="V69" s="55">
        <f t="shared" si="201"/>
        <v>0.14353476899724885</v>
      </c>
      <c r="W69" s="147"/>
      <c r="X69" s="55">
        <f t="shared" ref="X69" si="202">+X16/X11</f>
        <v>0.15712916502226984</v>
      </c>
      <c r="Y69" s="60">
        <v>0.18</v>
      </c>
      <c r="Z69" s="60">
        <v>0.18</v>
      </c>
      <c r="AA69" s="60">
        <v>0.18</v>
      </c>
      <c r="AB69" s="163"/>
      <c r="AC69" s="60">
        <v>0.17</v>
      </c>
      <c r="AD69" s="60">
        <v>0.16</v>
      </c>
      <c r="AE69" s="60">
        <f t="shared" ref="AE69" si="203">AD69</f>
        <v>0.16</v>
      </c>
      <c r="AF69" s="60">
        <v>0.16</v>
      </c>
      <c r="AG69" s="54"/>
      <c r="AL69" s="56"/>
      <c r="AM69" s="189"/>
      <c r="AN69" s="189"/>
      <c r="AO69" s="189"/>
      <c r="AP69" s="189"/>
      <c r="AQ69" s="189"/>
      <c r="AR69" s="94"/>
    </row>
    <row r="70" spans="1:45" s="42" customFormat="1" outlineLevel="1" x14ac:dyDescent="0.3">
      <c r="A70" s="145"/>
      <c r="B70" s="70" t="s">
        <v>93</v>
      </c>
      <c r="C70" s="71"/>
      <c r="D70" s="55">
        <f t="shared" ref="D70:R70" si="204">+D17/D11</f>
        <v>6.8004459308807136E-2</v>
      </c>
      <c r="E70" s="55">
        <f t="shared" si="204"/>
        <v>6.401491609695463E-2</v>
      </c>
      <c r="F70" s="55">
        <f t="shared" si="204"/>
        <v>6.2473256311510482E-2</v>
      </c>
      <c r="G70" s="55">
        <f t="shared" si="204"/>
        <v>5.8462935634010671E-2</v>
      </c>
      <c r="H70" s="53">
        <f t="shared" si="204"/>
        <v>6.2631159997105432E-2</v>
      </c>
      <c r="I70" s="55">
        <f t="shared" si="204"/>
        <v>8.1548804780876491E-2</v>
      </c>
      <c r="J70" s="55">
        <f t="shared" si="204"/>
        <v>6.8662160712369913E-2</v>
      </c>
      <c r="K70" s="55">
        <f t="shared" si="204"/>
        <v>5.1897753679318356E-2</v>
      </c>
      <c r="L70" s="55">
        <f t="shared" si="204"/>
        <v>5.2883132901634287E-2</v>
      </c>
      <c r="M70" s="53">
        <f t="shared" si="204"/>
        <v>6.1914249870858237E-2</v>
      </c>
      <c r="N70" s="55">
        <f t="shared" si="204"/>
        <v>6.3262577302356682E-2</v>
      </c>
      <c r="O70" s="55">
        <f t="shared" si="204"/>
        <v>5.865013982314262E-2</v>
      </c>
      <c r="P70" s="55">
        <f t="shared" si="204"/>
        <v>6.8696729074087567E-2</v>
      </c>
      <c r="Q70" s="55">
        <f t="shared" si="204"/>
        <v>5.7703677426983561E-2</v>
      </c>
      <c r="R70" s="54">
        <f t="shared" si="204"/>
        <v>6.1821698484902751E-2</v>
      </c>
      <c r="S70" s="55">
        <f t="shared" ref="S70:T70" si="205">+S17/S11</f>
        <v>0.26954964515487168</v>
      </c>
      <c r="T70" s="55">
        <f t="shared" si="205"/>
        <v>0.19092739547554186</v>
      </c>
      <c r="U70" s="55">
        <f t="shared" ref="U70:V70" si="206">+U17/U11</f>
        <v>7.6365284387038296E-2</v>
      </c>
      <c r="V70" s="55">
        <f t="shared" si="206"/>
        <v>8.675647471776872E-2</v>
      </c>
      <c r="W70" s="147"/>
      <c r="X70" s="55">
        <f t="shared" ref="X70" si="207">+X17/X11</f>
        <v>8.9248463663528219E-2</v>
      </c>
      <c r="Y70" s="60">
        <v>0.1</v>
      </c>
      <c r="Z70" s="60">
        <v>0.08</v>
      </c>
      <c r="AA70" s="60">
        <v>7.0000000000000007E-2</v>
      </c>
      <c r="AB70" s="54"/>
      <c r="AC70" s="60">
        <v>0.09</v>
      </c>
      <c r="AD70" s="60">
        <v>0.08</v>
      </c>
      <c r="AE70" s="60">
        <f t="shared" ref="AE70" si="208">AD70</f>
        <v>0.08</v>
      </c>
      <c r="AF70" s="60">
        <v>0.08</v>
      </c>
      <c r="AG70" s="54"/>
      <c r="AL70" s="56" t="s">
        <v>159</v>
      </c>
      <c r="AM70" s="189"/>
      <c r="AN70" s="189"/>
      <c r="AO70" s="189"/>
      <c r="AP70" s="189"/>
      <c r="AQ70" s="189"/>
      <c r="AR70" s="94"/>
    </row>
    <row r="71" spans="1:45" s="42" customFormat="1" outlineLevel="1" x14ac:dyDescent="0.3">
      <c r="A71" s="145"/>
      <c r="B71" s="157" t="s">
        <v>11</v>
      </c>
      <c r="C71" s="158"/>
      <c r="D71" s="51"/>
      <c r="E71" s="51"/>
      <c r="F71" s="51"/>
      <c r="G71" s="51"/>
      <c r="H71" s="30">
        <f>H12+H15+H16+H17</f>
        <v>15211</v>
      </c>
      <c r="I71" s="51"/>
      <c r="J71" s="51"/>
      <c r="K71" s="51"/>
      <c r="L71" s="51"/>
      <c r="M71" s="30">
        <f>M12+M15+M16+M17</f>
        <v>20451</v>
      </c>
      <c r="N71" s="51"/>
      <c r="O71" s="51"/>
      <c r="P71" s="51"/>
      <c r="Q71" s="51"/>
      <c r="R71" s="30">
        <f>R12+R15+R16+R17</f>
        <v>30925</v>
      </c>
      <c r="S71" s="51"/>
      <c r="T71" s="51"/>
      <c r="U71" s="51"/>
      <c r="V71" s="51"/>
      <c r="W71" s="30">
        <f>W12+W15+W16+W17</f>
        <v>46711</v>
      </c>
      <c r="X71" s="51"/>
      <c r="Y71" s="51"/>
      <c r="Z71" s="51"/>
      <c r="AA71" s="51"/>
      <c r="AB71" s="109">
        <f>AB12+AB15+AB16+AB17</f>
        <v>53189.891723034532</v>
      </c>
      <c r="AC71" s="51"/>
      <c r="AD71" s="51"/>
      <c r="AE71" s="51"/>
      <c r="AF71" s="51"/>
      <c r="AG71" s="30">
        <f>AG12+AG15+AG16+AG17</f>
        <v>64442.931048694823</v>
      </c>
      <c r="AL71" s="56" t="s">
        <v>160</v>
      </c>
      <c r="AM71" s="189"/>
      <c r="AN71" s="189"/>
      <c r="AO71" s="189"/>
      <c r="AP71" s="189"/>
      <c r="AQ71" s="189"/>
      <c r="AR71" s="94"/>
    </row>
    <row r="72" spans="1:45" s="42" customFormat="1" outlineLevel="1" x14ac:dyDescent="0.3">
      <c r="A72" s="145"/>
      <c r="B72" s="70" t="s">
        <v>99</v>
      </c>
      <c r="C72" s="71"/>
      <c r="D72" s="55"/>
      <c r="E72" s="55"/>
      <c r="F72" s="55"/>
      <c r="G72" s="55"/>
      <c r="H72" s="53"/>
      <c r="I72" s="55">
        <f>+(I12+I15+I16+I17)/(G12+G15+G16+G17)-1</f>
        <v>0.10471941770368631</v>
      </c>
      <c r="J72" s="55">
        <f>+(J12+J15+J16+J17)/(H12+H15+H16+H17)-1</f>
        <v>-0.67654986522911054</v>
      </c>
      <c r="K72" s="55">
        <f>+(K12+K15+K16+K17)/(I12+I15+I16+I17)-1</f>
        <v>0.10648246546227425</v>
      </c>
      <c r="L72" s="55">
        <f>+(L12+L15+L16+L17)/(J12+J15+J16+J17)-1</f>
        <v>0.14227642276422769</v>
      </c>
      <c r="M72" s="53">
        <f>+(M12+M15+M16+M17)/(H12+H15+H16+H17)-1</f>
        <v>0.3444875419104596</v>
      </c>
      <c r="N72" s="55">
        <f>+(N12+N15+N16+N17)/(L12+L15+L16+L17)-1</f>
        <v>0.159608540925267</v>
      </c>
      <c r="O72" s="55">
        <f>+(O12+O15+O16+O17)/(M12+M15+M16+M17)-1</f>
        <v>-0.63972421886460318</v>
      </c>
      <c r="P72" s="55">
        <f>+(P12+P15+P16+P17)/(N12+N15+N16+N17)-1</f>
        <v>0.21927267147460494</v>
      </c>
      <c r="Q72" s="55">
        <f>+(Q12+Q15+Q16+Q17)/(O12+O15+O16+O17)-1</f>
        <v>0.23425624321389793</v>
      </c>
      <c r="R72" s="53">
        <f>+(R12+R15+R16+R17)/(M12+M15+M16+M17)-1</f>
        <v>0.5121509950613663</v>
      </c>
      <c r="S72" s="55">
        <f>+(S12+S15+S16+S17)/(Q12+Q15+Q16+Q17)-1</f>
        <v>0.29316032548933357</v>
      </c>
      <c r="T72" s="55">
        <f>+(T12+T15+T16+T17)/(R12+R15+R16+R17)-1</f>
        <v>-0.60355699272433305</v>
      </c>
      <c r="U72" s="55">
        <f>+(U12+U15+U16+U17)/(S12+S15+S16+S17)-1</f>
        <v>-0.10994897959183669</v>
      </c>
      <c r="V72" s="55">
        <f>+(V12+V15+V16+V17)/(T12+T15+T16+T17)-1</f>
        <v>-2.9363784665579207E-3</v>
      </c>
      <c r="W72" s="162">
        <f>+(W12+W15+W16+W17)/(R12+R15+R16+R17)-1</f>
        <v>0.51046079223928853</v>
      </c>
      <c r="X72" s="55">
        <f>+(X12+X15+X16+X17)/(V12+V15+V16+V17)-1</f>
        <v>-3.1086387434554941E-2</v>
      </c>
      <c r="Y72" s="55">
        <f>+(Y12+Y15+Y16+Y17)/(W12+W15+W16+W17)-1</f>
        <v>-0.73115933054419735</v>
      </c>
      <c r="Z72" s="55">
        <f>+(Z12+Z15+Z16+Z17)/(X12+X15+X16+X17)-1</f>
        <v>9.541758340881823E-2</v>
      </c>
      <c r="AA72" s="55">
        <f>+(AA12+AA15+AA16+AA17)/(Y12+Y15+Y16+Y17)-1</f>
        <v>0.25929132189511295</v>
      </c>
      <c r="AB72" s="53">
        <f>+(AB12+AB15+AB16+AB17)/(W12+W15+W16+W17)-1</f>
        <v>0.13870162751888282</v>
      </c>
      <c r="AC72" s="55">
        <f>+(AC12+AC15+AC16+AC17)/(AA12+AA15+AA16+AA17)-1</f>
        <v>-3.3890195293702741E-2</v>
      </c>
      <c r="AD72" s="55">
        <f>+(AD12+AD15+AD16+AD17)/(AB12+AB15+AB16+AB17)-1</f>
        <v>-0.73563646042384334</v>
      </c>
      <c r="AE72" s="55">
        <f>+(AE12+AE15+AE16+AE17)/(AC12+AC15+AC16+AC17)-1</f>
        <v>2.4745929068468397E-2</v>
      </c>
      <c r="AF72" s="55">
        <f>+(AF12+AF15+AF16+AF17)/(AD12+AD15+AD16+AD17)-1</f>
        <v>0.38302567742077542</v>
      </c>
      <c r="AG72" s="53">
        <f>+(AG12+AG15+AG16+AG17)/(AB12+AB15+AB16+AB17)-1</f>
        <v>0.21156349376035721</v>
      </c>
      <c r="AL72" s="56" t="s">
        <v>161</v>
      </c>
      <c r="AM72" s="189"/>
      <c r="AN72" s="189"/>
      <c r="AO72" s="189"/>
      <c r="AP72" s="189"/>
      <c r="AQ72" s="189"/>
      <c r="AR72" s="94"/>
    </row>
    <row r="73" spans="1:45" s="42" customFormat="1" outlineLevel="1" x14ac:dyDescent="0.3">
      <c r="A73" s="145"/>
      <c r="B73" s="206" t="s">
        <v>4</v>
      </c>
      <c r="C73" s="207"/>
      <c r="D73" s="51">
        <f t="shared" ref="D73:AG73" si="209">D19/D11</f>
        <v>0.37328130806391674</v>
      </c>
      <c r="E73" s="51">
        <f t="shared" si="209"/>
        <v>0.42666252330640148</v>
      </c>
      <c r="F73" s="51">
        <f t="shared" si="209"/>
        <v>0.445300242476109</v>
      </c>
      <c r="G73" s="51">
        <f t="shared" si="209"/>
        <v>0.51651719831990006</v>
      </c>
      <c r="H73" s="54">
        <f t="shared" si="209"/>
        <v>0.44963456111151312</v>
      </c>
      <c r="I73" s="51">
        <f t="shared" si="209"/>
        <v>0.41421812749003983</v>
      </c>
      <c r="J73" s="51">
        <f t="shared" si="209"/>
        <v>0.47215963952365625</v>
      </c>
      <c r="K73" s="51">
        <f t="shared" si="209"/>
        <v>0.49593338497288925</v>
      </c>
      <c r="L73" s="51">
        <f t="shared" si="209"/>
        <v>0.56675917360468697</v>
      </c>
      <c r="M73" s="54">
        <f t="shared" si="209"/>
        <v>0.49693749538779425</v>
      </c>
      <c r="N73" s="51">
        <f t="shared" si="209"/>
        <v>0.45537355841551064</v>
      </c>
      <c r="O73" s="51">
        <f t="shared" si="209"/>
        <v>0.44312599198851182</v>
      </c>
      <c r="P73" s="51">
        <f t="shared" si="209"/>
        <v>0.42114081736723247</v>
      </c>
      <c r="Q73" s="51">
        <f t="shared" si="209"/>
        <v>0.46233889085964291</v>
      </c>
      <c r="R73" s="54">
        <f t="shared" si="209"/>
        <v>0.44616569361366809</v>
      </c>
      <c r="S73" s="51">
        <f t="shared" si="209"/>
        <v>0.22000397957153281</v>
      </c>
      <c r="T73" s="51">
        <f t="shared" si="209"/>
        <v>0.27395475541869002</v>
      </c>
      <c r="U73" s="51">
        <f t="shared" si="209"/>
        <v>0.40703602991162474</v>
      </c>
      <c r="V73" s="51">
        <f t="shared" si="209"/>
        <v>0.42016886443411439</v>
      </c>
      <c r="W73" s="147">
        <f t="shared" si="209"/>
        <v>0.33927889443682191</v>
      </c>
      <c r="X73" s="51">
        <f t="shared" si="209"/>
        <v>0.33224333314540228</v>
      </c>
      <c r="Y73" s="51">
        <f t="shared" si="209"/>
        <v>0.27500000000000002</v>
      </c>
      <c r="Z73" s="51">
        <f t="shared" si="209"/>
        <v>0.315</v>
      </c>
      <c r="AA73" s="51">
        <f t="shared" si="209"/>
        <v>0.3249999999999999</v>
      </c>
      <c r="AB73" s="54">
        <f t="shared" si="209"/>
        <v>0.31302755825989986</v>
      </c>
      <c r="AC73" s="51">
        <f t="shared" si="209"/>
        <v>0.31</v>
      </c>
      <c r="AD73" s="51">
        <f t="shared" si="209"/>
        <v>0.35499999999999998</v>
      </c>
      <c r="AE73" s="51">
        <f t="shared" si="209"/>
        <v>0.35500000000000004</v>
      </c>
      <c r="AF73" s="51">
        <f t="shared" si="209"/>
        <v>0.35499999999999993</v>
      </c>
      <c r="AG73" s="54">
        <f t="shared" si="209"/>
        <v>0.34487063934156204</v>
      </c>
      <c r="AL73" s="56"/>
      <c r="AM73" s="189"/>
      <c r="AN73" s="189"/>
      <c r="AO73" s="189"/>
      <c r="AP73" s="189"/>
      <c r="AQ73" s="189"/>
      <c r="AR73" s="94"/>
    </row>
    <row r="74" spans="1:45" s="42" customFormat="1" outlineLevel="1" x14ac:dyDescent="0.3">
      <c r="A74" s="145"/>
      <c r="B74" s="206" t="s">
        <v>2</v>
      </c>
      <c r="C74" s="207"/>
      <c r="D74" s="51">
        <f t="shared" ref="D74:X74" si="210">-D22/D21</f>
        <v>0.26876513317191281</v>
      </c>
      <c r="E74" s="51">
        <f t="shared" si="210"/>
        <v>0.25704989154013014</v>
      </c>
      <c r="F74" s="51">
        <f t="shared" si="210"/>
        <v>0.24928999684443043</v>
      </c>
      <c r="G74" s="51">
        <f t="shared" si="210"/>
        <v>5.422753430721558E-2</v>
      </c>
      <c r="H74" s="54">
        <f t="shared" si="210"/>
        <v>0.18381530595941845</v>
      </c>
      <c r="I74" s="51">
        <f t="shared" si="210"/>
        <v>0.10093896713615023</v>
      </c>
      <c r="J74" s="51">
        <f t="shared" si="210"/>
        <v>0.13235294117647059</v>
      </c>
      <c r="K74" s="51">
        <f t="shared" si="210"/>
        <v>0.10103132161955691</v>
      </c>
      <c r="L74" s="51">
        <f t="shared" si="210"/>
        <v>0.42803537925489143</v>
      </c>
      <c r="M74" s="54">
        <f t="shared" si="210"/>
        <v>0.22632805671554823</v>
      </c>
      <c r="N74" s="51">
        <f t="shared" si="210"/>
        <v>0.11087344028520499</v>
      </c>
      <c r="O74" s="51">
        <f t="shared" si="210"/>
        <v>0.12985685071574643</v>
      </c>
      <c r="P74" s="51">
        <f t="shared" si="210"/>
        <v>0.13108930987821379</v>
      </c>
      <c r="Q74" s="51">
        <f t="shared" si="210"/>
        <v>0.13662024840045164</v>
      </c>
      <c r="R74" s="54">
        <f t="shared" si="210"/>
        <v>0.12807065967430306</v>
      </c>
      <c r="S74" s="144">
        <f t="shared" si="210"/>
        <v>0.30241240666283747</v>
      </c>
      <c r="T74" s="51">
        <f t="shared" si="210"/>
        <v>0.45860927152317882</v>
      </c>
      <c r="U74" s="51">
        <f t="shared" si="210"/>
        <v>0.16891799699822621</v>
      </c>
      <c r="V74" s="51">
        <f t="shared" si="210"/>
        <v>0.19849492856363835</v>
      </c>
      <c r="W74" s="147">
        <f t="shared" si="210"/>
        <v>0.25499758181525067</v>
      </c>
      <c r="X74" s="144">
        <f t="shared" si="210"/>
        <v>0.16362395495649207</v>
      </c>
      <c r="Y74" s="59">
        <v>0.18</v>
      </c>
      <c r="Z74" s="59">
        <v>0.18</v>
      </c>
      <c r="AA74" s="59">
        <v>0.18</v>
      </c>
      <c r="AB74" s="164">
        <f>-AB22/AB21</f>
        <v>0.17610664782571117</v>
      </c>
      <c r="AC74" s="59">
        <f>AVERAGE(X74,Y74,Z74,AA74)</f>
        <v>0.175905988739123</v>
      </c>
      <c r="AD74" s="59">
        <f>AVERAGE(Y74,Z74,AA74,AC74)+0.246782050130681%</f>
        <v>0.18144431768608757</v>
      </c>
      <c r="AE74" s="59">
        <f>AVERAGE(Z74,AA74,AC74,AD74)+0.246782050130681%</f>
        <v>0.18180539710760946</v>
      </c>
      <c r="AF74" s="59">
        <f>AVERAGE(AA74,AC74,AD74,AE74)+0.246782050130681%</f>
        <v>0.18225674638451181</v>
      </c>
      <c r="AG74" s="54">
        <f>-AG22/AG21</f>
        <v>0.18067084109936191</v>
      </c>
      <c r="AL74" s="190" t="s">
        <v>167</v>
      </c>
      <c r="AM74" s="191"/>
      <c r="AN74" s="191"/>
      <c r="AO74" s="191"/>
      <c r="AP74" s="191"/>
      <c r="AQ74" s="191"/>
      <c r="AR74" s="192"/>
    </row>
    <row r="75" spans="1:45" ht="17.399999999999999" x14ac:dyDescent="0.45">
      <c r="A75" s="138"/>
      <c r="B75" s="201" t="s">
        <v>17</v>
      </c>
      <c r="C75" s="202"/>
      <c r="D75" s="27" t="s">
        <v>48</v>
      </c>
      <c r="E75" s="27" t="s">
        <v>49</v>
      </c>
      <c r="F75" s="27" t="s">
        <v>50</v>
      </c>
      <c r="G75" s="27" t="s">
        <v>51</v>
      </c>
      <c r="H75" s="80" t="s">
        <v>52</v>
      </c>
      <c r="I75" s="27" t="s">
        <v>39</v>
      </c>
      <c r="J75" s="27" t="s">
        <v>40</v>
      </c>
      <c r="K75" s="27" t="s">
        <v>41</v>
      </c>
      <c r="L75" s="27" t="s">
        <v>42</v>
      </c>
      <c r="M75" s="80" t="s">
        <v>43</v>
      </c>
      <c r="N75" s="27" t="s">
        <v>30</v>
      </c>
      <c r="O75" s="27" t="s">
        <v>29</v>
      </c>
      <c r="P75" s="27" t="s">
        <v>28</v>
      </c>
      <c r="Q75" s="27" t="s">
        <v>27</v>
      </c>
      <c r="R75" s="80" t="s">
        <v>26</v>
      </c>
      <c r="S75" s="27" t="s">
        <v>140</v>
      </c>
      <c r="T75" s="27" t="s">
        <v>146</v>
      </c>
      <c r="U75" s="27" t="s">
        <v>147</v>
      </c>
      <c r="V75" s="27" t="s">
        <v>148</v>
      </c>
      <c r="W75" s="80" t="s">
        <v>149</v>
      </c>
      <c r="X75" s="27" t="s">
        <v>150</v>
      </c>
      <c r="Y75" s="25" t="s">
        <v>105</v>
      </c>
      <c r="Z75" s="25" t="s">
        <v>106</v>
      </c>
      <c r="AA75" s="25" t="s">
        <v>107</v>
      </c>
      <c r="AB75" s="82" t="s">
        <v>108</v>
      </c>
      <c r="AC75" s="25" t="s">
        <v>109</v>
      </c>
      <c r="AD75" s="25" t="s">
        <v>110</v>
      </c>
      <c r="AE75" s="25" t="s">
        <v>111</v>
      </c>
      <c r="AF75" s="25" t="s">
        <v>112</v>
      </c>
      <c r="AG75" s="82" t="s">
        <v>113</v>
      </c>
    </row>
    <row r="76" spans="1:45" outlineLevel="1" x14ac:dyDescent="0.3">
      <c r="A76" s="138"/>
      <c r="B76" s="206" t="s">
        <v>12</v>
      </c>
      <c r="C76" s="207"/>
      <c r="D76" s="51"/>
      <c r="E76" s="51"/>
      <c r="F76" s="51"/>
      <c r="G76" s="51"/>
      <c r="H76" s="53"/>
      <c r="I76" s="51">
        <f>(I26+I80)/G26-1</f>
        <v>3.7956280360860184E-3</v>
      </c>
      <c r="J76" s="51">
        <f>(J26+J80)/I26-1</f>
        <v>3.5230024213075417E-3</v>
      </c>
      <c r="K76" s="51">
        <f>(K26+K80)/J26-1</f>
        <v>2.6834940513578154E-3</v>
      </c>
      <c r="L76" s="51">
        <f>(L26+L80)/K26-1</f>
        <v>3.0440486794380828E-3</v>
      </c>
      <c r="M76" s="53"/>
      <c r="N76" s="51">
        <f>(N26+N80)/L26-1</f>
        <v>3.4813988299604581E-3</v>
      </c>
      <c r="O76" s="51">
        <f>(O26+O80)/N26-1</f>
        <v>2.5467086450188248E-3</v>
      </c>
      <c r="P76" s="51">
        <f>(P26+P80)/O26-1</f>
        <v>4.9405360145176047E-3</v>
      </c>
      <c r="Q76" s="51">
        <f>(Q26+Q80)/P26-1</f>
        <v>4.4046487651729915E-3</v>
      </c>
      <c r="R76" s="23"/>
      <c r="S76" s="51">
        <f>(S26+S80)/Q26-1</f>
        <v>-4.4787604456824059E-3</v>
      </c>
      <c r="T76" s="51">
        <f>(T26+T80)/S26-1</f>
        <v>1.8063725490196081E-3</v>
      </c>
      <c r="U76" s="51">
        <f>(U26+U80)/T26-1</f>
        <v>1.7723292469351559E-3</v>
      </c>
      <c r="V76" s="51">
        <f>(V26+V80)/U26-1</f>
        <v>2.3545900490538063E-3</v>
      </c>
      <c r="W76" s="23"/>
      <c r="X76" s="51">
        <f>(X26+X80)/V26-1</f>
        <v>1.1562718990889564E-3</v>
      </c>
      <c r="Y76" s="60">
        <f t="shared" ref="Y76:Y77" si="211">AVERAGE(T76,U76,V76,X76)</f>
        <v>1.7723909360243817E-3</v>
      </c>
      <c r="Z76" s="60">
        <f t="shared" ref="Z76:Z77" si="212">AVERAGE(U76,V76,X76,Y76)</f>
        <v>1.7638955327755751E-3</v>
      </c>
      <c r="AA76" s="60">
        <f t="shared" ref="AA76:AA77" si="213">AVERAGE(V76,X76,Y76,Z76)</f>
        <v>1.7617871042356799E-3</v>
      </c>
      <c r="AB76" s="23"/>
      <c r="AC76" s="60">
        <f t="shared" ref="AC76:AC77" si="214">AVERAGE(X76,Y76,Z76,AA76)</f>
        <v>1.6135863680311483E-3</v>
      </c>
      <c r="AD76" s="60">
        <f t="shared" ref="AD76:AD77" si="215">AVERAGE(Y76,Z76,AA76,AC76)</f>
        <v>1.7279149852666962E-3</v>
      </c>
      <c r="AE76" s="60">
        <f t="shared" ref="AE76:AE77" si="216">AVERAGE(Z76,AA76,AC76,AD76)</f>
        <v>1.7167959975772748E-3</v>
      </c>
      <c r="AF76" s="60">
        <f t="shared" ref="AF76:AF77" si="217">AVERAGE(AA76,AC76,AD76,AE76)</f>
        <v>1.7050211137776996E-3</v>
      </c>
      <c r="AG76" s="23"/>
    </row>
    <row r="77" spans="1:45" outlineLevel="1" x14ac:dyDescent="0.3">
      <c r="A77" s="138"/>
      <c r="B77" s="206" t="s">
        <v>13</v>
      </c>
      <c r="C77" s="207"/>
      <c r="D77" s="51"/>
      <c r="E77" s="51"/>
      <c r="F77" s="51"/>
      <c r="G77" s="51"/>
      <c r="H77" s="53"/>
      <c r="I77" s="51">
        <f>(I27+I80)/G27-1</f>
        <v>2.7021783526208765E-3</v>
      </c>
      <c r="J77" s="51">
        <f>(J27+J80)/I27-1</f>
        <v>2.7802309782607448E-3</v>
      </c>
      <c r="K77" s="51">
        <f>(K27+K80)/J27-1</f>
        <v>2.9759853435913364E-3</v>
      </c>
      <c r="L77" s="51">
        <f>(L27+L80)/K27-1</f>
        <v>1.2990248190420939E-3</v>
      </c>
      <c r="M77" s="53"/>
      <c r="N77" s="51">
        <f>(N27+N80)/L27-1</f>
        <v>7.1781530084469303E-4</v>
      </c>
      <c r="O77" s="51">
        <f>(O27+O80)/N27-1</f>
        <v>1.1547488361374203E-3</v>
      </c>
      <c r="P77" s="51">
        <f>(P27+P80)/O27-1</f>
        <v>2.4924408744124715E-3</v>
      </c>
      <c r="Q77" s="51">
        <f>(Q27+Q80)/P27-1</f>
        <v>-4.4373096892402764E-4</v>
      </c>
      <c r="R77" s="23"/>
      <c r="S77" s="51">
        <f>(S27+S80)/Q27-1</f>
        <v>-4.803534303534196E-3</v>
      </c>
      <c r="T77" s="51">
        <f>(T27+T80)/S27-1</f>
        <v>4.2380620425235271E-3</v>
      </c>
      <c r="U77" s="51">
        <f>(U27+U80)/T27-1</f>
        <v>1.7599999999999838E-3</v>
      </c>
      <c r="V77" s="51">
        <f>(V27+V80)/U27-1</f>
        <v>4.4258872651357084E-3</v>
      </c>
      <c r="W77" s="23"/>
      <c r="X77" s="51">
        <f>(X27+X80)/V27-1</f>
        <v>-1.979166666666643E-3</v>
      </c>
      <c r="Y77" s="60">
        <f t="shared" si="211"/>
        <v>2.1111956602481441E-3</v>
      </c>
      <c r="Z77" s="60">
        <f t="shared" si="212"/>
        <v>1.5794790646792983E-3</v>
      </c>
      <c r="AA77" s="60">
        <f t="shared" si="213"/>
        <v>1.534348830849127E-3</v>
      </c>
      <c r="AB77" s="23"/>
      <c r="AC77" s="60">
        <f t="shared" si="214"/>
        <v>8.114642222774816E-4</v>
      </c>
      <c r="AD77" s="60">
        <f t="shared" si="215"/>
        <v>1.5091219445135127E-3</v>
      </c>
      <c r="AE77" s="60">
        <f t="shared" si="216"/>
        <v>1.358603515579855E-3</v>
      </c>
      <c r="AF77" s="60">
        <f t="shared" si="217"/>
        <v>1.3033846283049941E-3</v>
      </c>
      <c r="AG77" s="23"/>
    </row>
    <row r="78" spans="1:45" outlineLevel="1" x14ac:dyDescent="0.3">
      <c r="A78" s="138"/>
      <c r="B78" s="206" t="s">
        <v>5</v>
      </c>
      <c r="C78" s="207"/>
      <c r="D78" s="61"/>
      <c r="E78" s="61"/>
      <c r="F78" s="61"/>
      <c r="G78" s="61"/>
      <c r="H78" s="65"/>
      <c r="I78" s="61">
        <v>117.82</v>
      </c>
      <c r="J78" s="61">
        <v>151.91</v>
      </c>
      <c r="K78" s="61">
        <v>166.56332334630517</v>
      </c>
      <c r="L78" s="61">
        <v>176.70181536624793</v>
      </c>
      <c r="M78" s="65"/>
      <c r="N78" s="61">
        <v>172.2070981221278</v>
      </c>
      <c r="O78" s="61">
        <v>174.6990364065723</v>
      </c>
      <c r="P78" s="61">
        <v>175.11542355903225</v>
      </c>
      <c r="Q78" s="61">
        <v>137.87315514615219</v>
      </c>
      <c r="R78" s="65"/>
      <c r="S78" s="146">
        <v>166.34</v>
      </c>
      <c r="T78" s="146">
        <f>((2159*180.22)+(2200*186.29)+(1800*181.21))/6159</f>
        <v>182.67754180873519</v>
      </c>
      <c r="U78" s="146">
        <f>((1980*199.28)+(1980*184.89)+(2100*185.71))/6060</f>
        <v>189.87584158415842</v>
      </c>
      <c r="V78" s="146">
        <f>((2415*184.42)+(2100*195.74)+(2205*202.02))/6720</f>
        <v>193.73250000000002</v>
      </c>
      <c r="W78" s="62"/>
      <c r="X78" s="146">
        <f>((2205*216.5)+(1995*207.57)+(2100*166.71))/6300</f>
        <v>197.07549999999998</v>
      </c>
      <c r="Y78" s="63">
        <v>220</v>
      </c>
      <c r="Z78" s="63">
        <f>Y78</f>
        <v>220</v>
      </c>
      <c r="AA78" s="63">
        <f>Z78</f>
        <v>220</v>
      </c>
      <c r="AB78" s="62"/>
      <c r="AC78" s="63">
        <f>AA78</f>
        <v>220</v>
      </c>
      <c r="AD78" s="63">
        <f>AC78</f>
        <v>220</v>
      </c>
      <c r="AE78" s="63">
        <f>AD78</f>
        <v>220</v>
      </c>
      <c r="AF78" s="63">
        <f>AE78</f>
        <v>220</v>
      </c>
      <c r="AG78" s="62"/>
    </row>
    <row r="79" spans="1:45" outlineLevel="1" x14ac:dyDescent="0.3">
      <c r="A79" s="138"/>
      <c r="B79" s="206" t="s">
        <v>6</v>
      </c>
      <c r="C79" s="207"/>
      <c r="D79" s="29"/>
      <c r="E79" s="29"/>
      <c r="F79" s="29"/>
      <c r="G79" s="29"/>
      <c r="H79" s="30"/>
      <c r="I79" s="29">
        <f>+(1939*117.82+18*0)/1000</f>
        <v>228.45297999999997</v>
      </c>
      <c r="J79" s="29">
        <f>1185*151.91/1000</f>
        <v>180.01335</v>
      </c>
      <c r="K79" s="29">
        <f>+(1249*160.1+1360*169.12+1173*170.5)/1000</f>
        <v>629.96460000000002</v>
      </c>
      <c r="L79" s="29">
        <f>+(1008*172.19+4832*177.64)/1000</f>
        <v>1031.924</v>
      </c>
      <c r="M79" s="30">
        <f>SUM(I79:L79)</f>
        <v>2070.35493</v>
      </c>
      <c r="N79" s="29">
        <f>+(1706*184.67+1576*180.83+7838*167.77)/1000</f>
        <v>1915.0163599999998</v>
      </c>
      <c r="O79" s="29">
        <f>+(9668*161.2+3353*180.81+5380*195.14)/1000</f>
        <v>3214.5907299999994</v>
      </c>
      <c r="P79" s="29">
        <f>(5288*198.56+6480*177.52+12535*163.98)/1000</f>
        <v>4255.8041800000001</v>
      </c>
      <c r="Q79" s="29">
        <f>+(25708*137.87)/1000</f>
        <v>3544.3619600000002</v>
      </c>
      <c r="R79" s="30">
        <f>SUM(N79:Q79)</f>
        <v>12929.773230000001</v>
      </c>
      <c r="S79" s="133">
        <v>521.80858000000001</v>
      </c>
      <c r="T79" s="133">
        <f>((2159*180.22)+(2200*186.29)+(1800*181.21))/1000</f>
        <v>1125.1109799999999</v>
      </c>
      <c r="U79" s="133">
        <f>((1980*199.28)+(1980*184.89)+(2100*185.71))/1000</f>
        <v>1150.6476</v>
      </c>
      <c r="V79" s="133">
        <f>((2415*184.42)+(2100*195.74)+(2205*202.02))/1000</f>
        <v>1301.8824000000002</v>
      </c>
      <c r="W79" s="30">
        <f>+SUM(S79:V79)</f>
        <v>4099.44956</v>
      </c>
      <c r="X79" s="133">
        <f>((2205*216.5)+(1995*207.57)+(2100*166.71))/1000</f>
        <v>1241.57565</v>
      </c>
      <c r="Y79" s="58">
        <f>AVERAGE(T79,U79,V79,X79)</f>
        <v>1204.8041575</v>
      </c>
      <c r="Z79" s="58">
        <f>AVERAGE(U79,V79,X79,Y79)</f>
        <v>1224.727451875</v>
      </c>
      <c r="AA79" s="58">
        <f>AVERAGE(V79,X79,Y79,Z79)</f>
        <v>1243.24741484375</v>
      </c>
      <c r="AB79" s="30">
        <f>+SUM(X79:AA79)</f>
        <v>4914.35467421875</v>
      </c>
      <c r="AC79" s="58">
        <f>AVERAGE(X79,Y79,Z79,AA79)</f>
        <v>1228.5886685546875</v>
      </c>
      <c r="AD79" s="58">
        <f>AVERAGE(Y79,Z79,AA79,AC79)</f>
        <v>1225.3419231933594</v>
      </c>
      <c r="AE79" s="58">
        <f>AVERAGE(Z79,AA79,AC79,AD79)</f>
        <v>1230.4763646166994</v>
      </c>
      <c r="AF79" s="58">
        <f>AVERAGE(AA79,AC79,AD79,AE79)</f>
        <v>1231.9135928021242</v>
      </c>
      <c r="AG79" s="30">
        <f>+SUM(AC79:AF79)</f>
        <v>4916.3205491668705</v>
      </c>
    </row>
    <row r="80" spans="1:45" outlineLevel="1" x14ac:dyDescent="0.3">
      <c r="A80" s="138"/>
      <c r="B80" s="212" t="s">
        <v>16</v>
      </c>
      <c r="C80" s="213"/>
      <c r="D80" s="66"/>
      <c r="E80" s="66"/>
      <c r="F80" s="66"/>
      <c r="G80" s="66"/>
      <c r="H80" s="101"/>
      <c r="I80" s="66">
        <f>IF((I79)&gt;0,(I79/I78),0)</f>
        <v>1.9389999999999998</v>
      </c>
      <c r="J80" s="66">
        <f>IF((J79)&gt;0,(J79/J78),0)</f>
        <v>1.1850000000000001</v>
      </c>
      <c r="K80" s="66">
        <f>IF((K79)&gt;0,(K79/K78),0)</f>
        <v>3.7821327489379395</v>
      </c>
      <c r="L80" s="66">
        <f>IF((L79)&gt;0,(L79/L78),0)</f>
        <v>5.8399173650884251</v>
      </c>
      <c r="M80" s="101">
        <f>+SUM(I80:L80)</f>
        <v>12.746050114026364</v>
      </c>
      <c r="N80" s="66">
        <f>IF((N79)&gt;0,(N79/N78),0)</f>
        <v>11.120426398695173</v>
      </c>
      <c r="O80" s="66">
        <f>IF((O79)&gt;0,(O79/O78),0)</f>
        <v>18.400735322424847</v>
      </c>
      <c r="P80" s="66">
        <f>IF((P79)&gt;0,(P79/P78),0)</f>
        <v>24.302851762028535</v>
      </c>
      <c r="Q80" s="66">
        <f>IF((Q79)&gt;0,(Q79/Q78),0)</f>
        <v>25.707411687523983</v>
      </c>
      <c r="R80" s="101">
        <f>+SUM(N80:Q80)</f>
        <v>79.531425170672534</v>
      </c>
      <c r="S80" s="66">
        <f>IF((S79)&gt;0,(S79/S78),0)</f>
        <v>3.137</v>
      </c>
      <c r="T80" s="66">
        <f>IF((T79)&gt;0,(T79/T78),0)</f>
        <v>6.1589999999999998</v>
      </c>
      <c r="U80" s="66">
        <f>IF((U79)&gt;0,(U79/U78),0)</f>
        <v>6.06</v>
      </c>
      <c r="V80" s="66">
        <f>IF((V79)&gt;0,(V79/V78),0)</f>
        <v>6.7200000000000006</v>
      </c>
      <c r="W80" s="101">
        <f>+SUM(S80:V80)</f>
        <v>22.076000000000001</v>
      </c>
      <c r="X80" s="66">
        <f>IF((X79)&gt;0,(X79/X78),0)</f>
        <v>6.3000000000000007</v>
      </c>
      <c r="Y80" s="66">
        <f>IF((Y79)&gt;0,(Y79/Y78),0)</f>
        <v>5.4763825340909094</v>
      </c>
      <c r="Z80" s="66">
        <f>IF((Z79)&gt;0,(Z79/Z78),0)</f>
        <v>5.5669429630681817</v>
      </c>
      <c r="AA80" s="66">
        <f>IF((AA79)&gt;0,(AA79/AA78),0)</f>
        <v>5.6511246129261368</v>
      </c>
      <c r="AB80" s="101">
        <f>+SUM(X80:AA80)</f>
        <v>22.994450110085229</v>
      </c>
      <c r="AC80" s="66">
        <f>IF((AC79)&gt;0,(AC79/AC78),0)</f>
        <v>5.5844939479758526</v>
      </c>
      <c r="AD80" s="66">
        <f>IF((AD79)&gt;0,(AD79/AD78),0)</f>
        <v>5.5697360145152706</v>
      </c>
      <c r="AE80" s="66">
        <f>IF((AE79)&gt;0,(AE79/AE78),0)</f>
        <v>5.5930743846213611</v>
      </c>
      <c r="AF80" s="66">
        <f>IF((AF79)&gt;0,(AF79/AF78),0)</f>
        <v>5.5996072400096555</v>
      </c>
      <c r="AG80" s="101">
        <f>+SUM(AC80:AF80)</f>
        <v>22.346911587122136</v>
      </c>
      <c r="AL80" s="195"/>
      <c r="AM80" s="183"/>
      <c r="AN80" s="183"/>
      <c r="AO80" s="183"/>
      <c r="AP80" s="183"/>
      <c r="AQ80" s="183"/>
      <c r="AR80" s="183"/>
      <c r="AS80" s="184"/>
    </row>
    <row r="81" spans="1:45" ht="17.399999999999999" x14ac:dyDescent="0.45">
      <c r="A81" s="138"/>
      <c r="B81" s="201" t="s">
        <v>23</v>
      </c>
      <c r="C81" s="202"/>
      <c r="D81" s="27" t="s">
        <v>48</v>
      </c>
      <c r="E81" s="27" t="s">
        <v>49</v>
      </c>
      <c r="F81" s="27" t="s">
        <v>50</v>
      </c>
      <c r="G81" s="27" t="s">
        <v>51</v>
      </c>
      <c r="H81" s="80" t="s">
        <v>52</v>
      </c>
      <c r="I81" s="27" t="s">
        <v>39</v>
      </c>
      <c r="J81" s="27" t="s">
        <v>40</v>
      </c>
      <c r="K81" s="27" t="s">
        <v>41</v>
      </c>
      <c r="L81" s="27" t="s">
        <v>42</v>
      </c>
      <c r="M81" s="80" t="s">
        <v>43</v>
      </c>
      <c r="N81" s="27" t="s">
        <v>30</v>
      </c>
      <c r="O81" s="27" t="s">
        <v>29</v>
      </c>
      <c r="P81" s="27" t="s">
        <v>28</v>
      </c>
      <c r="Q81" s="27" t="s">
        <v>27</v>
      </c>
      <c r="R81" s="80" t="s">
        <v>26</v>
      </c>
      <c r="S81" s="27" t="s">
        <v>140</v>
      </c>
      <c r="T81" s="27" t="s">
        <v>146</v>
      </c>
      <c r="U81" s="27" t="s">
        <v>147</v>
      </c>
      <c r="V81" s="27" t="s">
        <v>148</v>
      </c>
      <c r="W81" s="80" t="s">
        <v>149</v>
      </c>
      <c r="X81" s="27" t="s">
        <v>150</v>
      </c>
      <c r="Y81" s="25" t="s">
        <v>105</v>
      </c>
      <c r="Z81" s="25" t="s">
        <v>106</v>
      </c>
      <c r="AA81" s="25" t="s">
        <v>107</v>
      </c>
      <c r="AB81" s="82" t="s">
        <v>108</v>
      </c>
      <c r="AC81" s="25" t="s">
        <v>109</v>
      </c>
      <c r="AD81" s="25" t="s">
        <v>110</v>
      </c>
      <c r="AE81" s="25" t="s">
        <v>111</v>
      </c>
      <c r="AF81" s="25" t="s">
        <v>112</v>
      </c>
      <c r="AG81" s="82" t="s">
        <v>113</v>
      </c>
      <c r="AL81" s="56" t="s">
        <v>168</v>
      </c>
      <c r="AM81" s="188"/>
      <c r="AN81" s="188"/>
      <c r="AO81" s="188"/>
      <c r="AP81" s="188"/>
      <c r="AQ81" s="188"/>
      <c r="AR81" s="188"/>
      <c r="AS81" s="32"/>
    </row>
    <row r="82" spans="1:45" outlineLevel="1" x14ac:dyDescent="0.3">
      <c r="A82" s="138"/>
      <c r="B82" s="206" t="s">
        <v>94</v>
      </c>
      <c r="C82" s="207"/>
      <c r="D82" s="29"/>
      <c r="E82" s="29"/>
      <c r="F82" s="29"/>
      <c r="G82" s="29"/>
      <c r="H82" s="30"/>
      <c r="I82" s="29">
        <v>-536</v>
      </c>
      <c r="J82" s="29">
        <v>-373</v>
      </c>
      <c r="K82" s="29">
        <v>159</v>
      </c>
      <c r="L82" s="29">
        <v>348</v>
      </c>
      <c r="M82" s="30"/>
      <c r="N82" s="29">
        <v>-536</v>
      </c>
      <c r="O82" s="29">
        <v>-373</v>
      </c>
      <c r="P82" s="29">
        <v>159</v>
      </c>
      <c r="Q82" s="29">
        <v>348</v>
      </c>
      <c r="R82" s="30">
        <v>-401</v>
      </c>
      <c r="S82" s="133">
        <v>503</v>
      </c>
      <c r="T82" s="133">
        <v>574</v>
      </c>
      <c r="U82" s="133">
        <v>297</v>
      </c>
      <c r="V82" s="133">
        <v>295</v>
      </c>
      <c r="W82" s="128">
        <f t="shared" ref="W82" si="218">SUM(S82:V82)</f>
        <v>1669</v>
      </c>
      <c r="X82" s="133">
        <v>275</v>
      </c>
      <c r="Y82" s="58">
        <f>X82</f>
        <v>275</v>
      </c>
      <c r="Z82" s="58">
        <v>150</v>
      </c>
      <c r="AA82" s="58">
        <v>100</v>
      </c>
      <c r="AB82" s="30">
        <f t="shared" ref="AB82" si="219">SUM(X82:AA82)</f>
        <v>800</v>
      </c>
      <c r="AC82" s="58">
        <v>50</v>
      </c>
      <c r="AD82" s="58">
        <f>AC82</f>
        <v>50</v>
      </c>
      <c r="AE82" s="58">
        <f>AD82</f>
        <v>50</v>
      </c>
      <c r="AF82" s="58">
        <f>AE82</f>
        <v>50</v>
      </c>
      <c r="AG82" s="30">
        <f t="shared" ref="AG82" si="220">SUM(AC82:AF82)</f>
        <v>200</v>
      </c>
      <c r="AL82" s="56" t="s">
        <v>162</v>
      </c>
      <c r="AM82" s="188"/>
      <c r="AN82" s="188"/>
      <c r="AO82" s="188"/>
      <c r="AP82" s="188"/>
      <c r="AQ82" s="188"/>
      <c r="AR82" s="188"/>
      <c r="AS82" s="32"/>
    </row>
    <row r="83" spans="1:45" ht="17.399999999999999" x14ac:dyDescent="0.45">
      <c r="A83" s="138"/>
      <c r="B83" s="201" t="s">
        <v>95</v>
      </c>
      <c r="C83" s="202"/>
      <c r="D83" s="27" t="s">
        <v>48</v>
      </c>
      <c r="E83" s="27" t="s">
        <v>49</v>
      </c>
      <c r="F83" s="27" t="s">
        <v>50</v>
      </c>
      <c r="G83" s="27" t="s">
        <v>51</v>
      </c>
      <c r="H83" s="80" t="s">
        <v>52</v>
      </c>
      <c r="I83" s="27" t="s">
        <v>39</v>
      </c>
      <c r="J83" s="27" t="s">
        <v>40</v>
      </c>
      <c r="K83" s="27" t="s">
        <v>41</v>
      </c>
      <c r="L83" s="27" t="s">
        <v>42</v>
      </c>
      <c r="M83" s="80" t="s">
        <v>43</v>
      </c>
      <c r="N83" s="27" t="s">
        <v>30</v>
      </c>
      <c r="O83" s="27" t="s">
        <v>29</v>
      </c>
      <c r="P83" s="27" t="s">
        <v>28</v>
      </c>
      <c r="Q83" s="27" t="s">
        <v>27</v>
      </c>
      <c r="R83" s="80" t="s">
        <v>26</v>
      </c>
      <c r="S83" s="27" t="s">
        <v>140</v>
      </c>
      <c r="T83" s="27" t="s">
        <v>146</v>
      </c>
      <c r="U83" s="27" t="s">
        <v>147</v>
      </c>
      <c r="V83" s="27" t="s">
        <v>148</v>
      </c>
      <c r="W83" s="80" t="s">
        <v>149</v>
      </c>
      <c r="X83" s="27" t="s">
        <v>150</v>
      </c>
      <c r="Y83" s="25" t="s">
        <v>105</v>
      </c>
      <c r="Z83" s="25" t="s">
        <v>106</v>
      </c>
      <c r="AA83" s="25" t="s">
        <v>107</v>
      </c>
      <c r="AB83" s="82" t="s">
        <v>108</v>
      </c>
      <c r="AC83" s="25" t="s">
        <v>109</v>
      </c>
      <c r="AD83" s="25" t="s">
        <v>110</v>
      </c>
      <c r="AE83" s="25" t="s">
        <v>111</v>
      </c>
      <c r="AF83" s="25" t="s">
        <v>112</v>
      </c>
      <c r="AG83" s="82" t="s">
        <v>113</v>
      </c>
      <c r="AL83" s="56" t="s">
        <v>169</v>
      </c>
      <c r="AM83" s="188"/>
      <c r="AN83" s="189"/>
      <c r="AO83" s="189"/>
      <c r="AP83" s="189"/>
      <c r="AQ83" s="189"/>
      <c r="AR83" s="189"/>
      <c r="AS83" s="94"/>
    </row>
    <row r="84" spans="1:45" outlineLevel="1" x14ac:dyDescent="0.3">
      <c r="A84" s="138"/>
      <c r="B84" s="70" t="s">
        <v>66</v>
      </c>
      <c r="C84" s="71"/>
      <c r="D84" s="29"/>
      <c r="E84" s="29"/>
      <c r="F84" s="29"/>
      <c r="G84" s="29"/>
      <c r="H84" s="30"/>
      <c r="I84" s="29">
        <v>34</v>
      </c>
      <c r="J84" s="29">
        <v>47</v>
      </c>
      <c r="K84" s="29">
        <v>47</v>
      </c>
      <c r="L84" s="29">
        <v>50</v>
      </c>
      <c r="M84" s="30"/>
      <c r="N84" s="29">
        <v>56</v>
      </c>
      <c r="O84" s="29">
        <v>74</v>
      </c>
      <c r="P84" s="29">
        <v>72</v>
      </c>
      <c r="Q84" s="85">
        <v>82</v>
      </c>
      <c r="R84" s="30">
        <f>SUM(N84:Q84)</f>
        <v>284</v>
      </c>
      <c r="S84" s="133">
        <v>87</v>
      </c>
      <c r="T84" s="133">
        <v>109</v>
      </c>
      <c r="U84" s="133">
        <v>91</v>
      </c>
      <c r="V84" s="133">
        <f>377-U84-T84-S84</f>
        <v>90</v>
      </c>
      <c r="W84" s="30">
        <f>SUM(S84:V84)</f>
        <v>377</v>
      </c>
      <c r="X84" s="133">
        <v>94</v>
      </c>
      <c r="Y84" s="58">
        <f>AVERAGE(T84,U84,V84,X84)</f>
        <v>96</v>
      </c>
      <c r="Z84" s="58">
        <f>AVERAGE(U84,V84,X84,Y84)</f>
        <v>92.75</v>
      </c>
      <c r="AA84" s="58">
        <f>AVERAGE(V84,X84,Y84,Z84)</f>
        <v>93.1875</v>
      </c>
      <c r="AB84" s="30">
        <f>SUM(X84:AA84)</f>
        <v>375.9375</v>
      </c>
      <c r="AC84" s="58">
        <f>AVERAGE(X84,Y84,Z84,AA84)</f>
        <v>93.984375</v>
      </c>
      <c r="AD84" s="58">
        <f>AVERAGE(Y84,Z84,AA84,AC84)</f>
        <v>93.98046875</v>
      </c>
      <c r="AE84" s="58">
        <f>AVERAGE(Z84,AA84,AC84,AD84)</f>
        <v>93.4755859375</v>
      </c>
      <c r="AF84" s="58">
        <f>AVERAGE(AA84,AC84,AD84,AE84)</f>
        <v>93.656982421875</v>
      </c>
      <c r="AG84" s="30">
        <f>SUM(AC84:AF84)</f>
        <v>375.097412109375</v>
      </c>
      <c r="AL84" s="196"/>
      <c r="AM84" s="188"/>
      <c r="AN84" s="189"/>
      <c r="AO84" s="189"/>
      <c r="AP84" s="189"/>
      <c r="AQ84" s="189"/>
      <c r="AR84" s="189"/>
      <c r="AS84" s="94"/>
    </row>
    <row r="85" spans="1:45" s="87" customFormat="1" outlineLevel="1" x14ac:dyDescent="0.3">
      <c r="A85" s="148"/>
      <c r="B85" s="70" t="s">
        <v>98</v>
      </c>
      <c r="C85" s="102"/>
      <c r="D85" s="88"/>
      <c r="E85" s="88"/>
      <c r="F85" s="88"/>
      <c r="G85" s="29"/>
      <c r="H85" s="103"/>
      <c r="I85" s="29">
        <v>670</v>
      </c>
      <c r="J85" s="29">
        <v>787</v>
      </c>
      <c r="K85" s="29">
        <v>776</v>
      </c>
      <c r="L85" s="29">
        <v>587</v>
      </c>
      <c r="M85" s="103"/>
      <c r="N85" s="29">
        <v>718</v>
      </c>
      <c r="O85" s="29">
        <v>881</v>
      </c>
      <c r="P85" s="29">
        <v>748</v>
      </c>
      <c r="Q85" s="85">
        <v>675</v>
      </c>
      <c r="R85" s="30">
        <f t="shared" ref="R85:R87" si="221">SUM(N85:Q85)</f>
        <v>3022</v>
      </c>
      <c r="S85" s="133">
        <v>723</v>
      </c>
      <c r="T85" s="133">
        <v>927</v>
      </c>
      <c r="U85" s="133">
        <v>907</v>
      </c>
      <c r="V85" s="133">
        <f>3488-U85-T85-S85</f>
        <v>931</v>
      </c>
      <c r="W85" s="30">
        <f t="shared" ref="W85:W87" si="222">SUM(S85:V85)</f>
        <v>3488</v>
      </c>
      <c r="X85" s="133">
        <v>999</v>
      </c>
      <c r="Y85" s="58">
        <f t="shared" ref="Y85:Y87" si="223">AVERAGE(T85,U85,V85,X85)</f>
        <v>941</v>
      </c>
      <c r="Z85" s="58">
        <f t="shared" ref="Z85:Z87" si="224">AVERAGE(U85,V85,X85,Y85)</f>
        <v>944.5</v>
      </c>
      <c r="AA85" s="58">
        <f t="shared" ref="AA85:AA87" si="225">AVERAGE(V85,X85,Y85,Z85)</f>
        <v>953.875</v>
      </c>
      <c r="AB85" s="30">
        <f t="shared" ref="AB85:AB87" si="226">SUM(X85:AA85)</f>
        <v>3838.375</v>
      </c>
      <c r="AC85" s="58">
        <f t="shared" ref="AC85:AC87" si="227">AVERAGE(X85,Y85,Z85,AA85)</f>
        <v>959.59375</v>
      </c>
      <c r="AD85" s="58">
        <f t="shared" ref="AD85:AD87" si="228">AVERAGE(Y85,Z85,AA85,AC85)</f>
        <v>949.7421875</v>
      </c>
      <c r="AE85" s="58">
        <f t="shared" ref="AE85:AE87" si="229">AVERAGE(Z85,AA85,AC85,AD85)</f>
        <v>951.927734375</v>
      </c>
      <c r="AF85" s="58">
        <f t="shared" ref="AF85:AF87" si="230">AVERAGE(AA85,AC85,AD85,AE85)</f>
        <v>953.78466796875</v>
      </c>
      <c r="AG85" s="30">
        <f t="shared" ref="AG85:AG87" si="231">SUM(AC85:AF85)</f>
        <v>3815.04833984375</v>
      </c>
      <c r="AL85" s="197"/>
      <c r="AM85" s="198"/>
      <c r="AN85" s="199"/>
      <c r="AO85" s="199"/>
      <c r="AP85" s="199"/>
      <c r="AQ85" s="199"/>
      <c r="AR85" s="199"/>
      <c r="AS85" s="200"/>
    </row>
    <row r="86" spans="1:45" outlineLevel="1" x14ac:dyDescent="0.3">
      <c r="A86" s="138"/>
      <c r="B86" s="70" t="s">
        <v>97</v>
      </c>
      <c r="C86" s="71"/>
      <c r="D86" s="29"/>
      <c r="E86" s="29"/>
      <c r="F86" s="29"/>
      <c r="G86" s="29"/>
      <c r="H86" s="30"/>
      <c r="I86" s="29">
        <v>96</v>
      </c>
      <c r="J86" s="29">
        <v>120</v>
      </c>
      <c r="K86" s="29">
        <v>114</v>
      </c>
      <c r="L86" s="29">
        <v>106</v>
      </c>
      <c r="M86" s="30"/>
      <c r="N86" s="29">
        <v>109</v>
      </c>
      <c r="O86" s="29">
        <v>139</v>
      </c>
      <c r="P86" s="29">
        <v>133</v>
      </c>
      <c r="Q86" s="85">
        <v>130</v>
      </c>
      <c r="R86" s="30">
        <f t="shared" si="221"/>
        <v>511</v>
      </c>
      <c r="S86" s="133">
        <v>113</v>
      </c>
      <c r="T86" s="133">
        <v>160</v>
      </c>
      <c r="U86" s="133">
        <v>148</v>
      </c>
      <c r="V86" s="133">
        <f>569-U86-T86-S86</f>
        <v>148</v>
      </c>
      <c r="W86" s="30">
        <f t="shared" si="222"/>
        <v>569</v>
      </c>
      <c r="X86" s="133">
        <v>149</v>
      </c>
      <c r="Y86" s="58">
        <f t="shared" si="223"/>
        <v>151.25</v>
      </c>
      <c r="Z86" s="58">
        <f t="shared" si="224"/>
        <v>149.0625</v>
      </c>
      <c r="AA86" s="58">
        <f t="shared" si="225"/>
        <v>149.328125</v>
      </c>
      <c r="AB86" s="30">
        <f t="shared" si="226"/>
        <v>598.640625</v>
      </c>
      <c r="AC86" s="58">
        <f t="shared" si="227"/>
        <v>149.66015625</v>
      </c>
      <c r="AD86" s="58">
        <f t="shared" si="228"/>
        <v>149.8251953125</v>
      </c>
      <c r="AE86" s="58">
        <f t="shared" si="229"/>
        <v>149.468994140625</v>
      </c>
      <c r="AF86" s="58">
        <f t="shared" si="230"/>
        <v>149.57061767578125</v>
      </c>
      <c r="AG86" s="30">
        <f t="shared" si="231"/>
        <v>598.52496337890625</v>
      </c>
    </row>
    <row r="87" spans="1:45" outlineLevel="1" x14ac:dyDescent="0.3">
      <c r="A87" s="138"/>
      <c r="B87" s="76" t="s">
        <v>96</v>
      </c>
      <c r="C87" s="89"/>
      <c r="D87" s="67"/>
      <c r="E87" s="67"/>
      <c r="F87" s="67"/>
      <c r="G87" s="67"/>
      <c r="H87" s="68"/>
      <c r="I87" s="67">
        <v>67</v>
      </c>
      <c r="J87" s="67">
        <v>78</v>
      </c>
      <c r="K87" s="67">
        <v>73</v>
      </c>
      <c r="L87" s="67">
        <v>71</v>
      </c>
      <c r="M87" s="68"/>
      <c r="N87" s="67">
        <v>72</v>
      </c>
      <c r="O87" s="67">
        <v>92</v>
      </c>
      <c r="P87" s="67">
        <v>87</v>
      </c>
      <c r="Q87" s="104">
        <v>84</v>
      </c>
      <c r="R87" s="68">
        <f t="shared" si="221"/>
        <v>335</v>
      </c>
      <c r="S87" s="149">
        <v>87</v>
      </c>
      <c r="T87" s="155">
        <v>107</v>
      </c>
      <c r="U87" s="155">
        <v>103</v>
      </c>
      <c r="V87" s="160">
        <f>402-U87-T87-S87</f>
        <v>105</v>
      </c>
      <c r="W87" s="68">
        <f t="shared" si="222"/>
        <v>402</v>
      </c>
      <c r="X87" s="149">
        <v>93</v>
      </c>
      <c r="Y87" s="77">
        <f t="shared" si="223"/>
        <v>102</v>
      </c>
      <c r="Z87" s="77">
        <f t="shared" si="224"/>
        <v>100.75</v>
      </c>
      <c r="AA87" s="106">
        <f t="shared" si="225"/>
        <v>100.1875</v>
      </c>
      <c r="AB87" s="68">
        <f t="shared" si="226"/>
        <v>395.9375</v>
      </c>
      <c r="AC87" s="105">
        <f t="shared" si="227"/>
        <v>98.984375</v>
      </c>
      <c r="AD87" s="77">
        <f t="shared" si="228"/>
        <v>100.48046875</v>
      </c>
      <c r="AE87" s="77">
        <f t="shared" si="229"/>
        <v>100.1005859375</v>
      </c>
      <c r="AF87" s="106">
        <f t="shared" si="230"/>
        <v>99.938232421875</v>
      </c>
      <c r="AG87" s="68">
        <f t="shared" si="231"/>
        <v>399.503662109375</v>
      </c>
    </row>
    <row r="88" spans="1:45" x14ac:dyDescent="0.3">
      <c r="A88" s="138"/>
      <c r="B88" s="20"/>
      <c r="C88" s="20"/>
      <c r="F88" s="3"/>
      <c r="G88" s="3"/>
      <c r="H88" s="3"/>
      <c r="I88" s="151"/>
      <c r="J88" s="151"/>
      <c r="K88" s="151"/>
      <c r="L88" s="151"/>
      <c r="M88" s="84"/>
      <c r="N88" s="151"/>
      <c r="O88" s="151"/>
      <c r="P88" s="151"/>
      <c r="Q88" s="151"/>
      <c r="R88" s="151"/>
      <c r="S88" s="151"/>
      <c r="T88" s="151"/>
      <c r="U88" s="151"/>
      <c r="V88" s="151"/>
      <c r="W88" s="84"/>
      <c r="Z88" s="3"/>
      <c r="AA88" s="3"/>
      <c r="AB88" s="84"/>
      <c r="AE88" s="3"/>
      <c r="AF88" s="3"/>
      <c r="AG88" s="84"/>
    </row>
  </sheetData>
  <dataConsolidate/>
  <mergeCells count="37">
    <mergeCell ref="B3:C3"/>
    <mergeCell ref="B4:C4"/>
    <mergeCell ref="B5:C5"/>
    <mergeCell ref="B9:C9"/>
    <mergeCell ref="B10:C10"/>
    <mergeCell ref="B2:C2"/>
    <mergeCell ref="B80:C80"/>
    <mergeCell ref="B79:C79"/>
    <mergeCell ref="B81:C81"/>
    <mergeCell ref="B82:C82"/>
    <mergeCell ref="B11:C11"/>
    <mergeCell ref="B22:C22"/>
    <mergeCell ref="B21:C21"/>
    <mergeCell ref="B62:C62"/>
    <mergeCell ref="B61:C61"/>
    <mergeCell ref="B29:C29"/>
    <mergeCell ref="B28:C28"/>
    <mergeCell ref="B27:C27"/>
    <mergeCell ref="B26:C26"/>
    <mergeCell ref="B23:C23"/>
    <mergeCell ref="B31:C31"/>
    <mergeCell ref="B83:C83"/>
    <mergeCell ref="A9:A10"/>
    <mergeCell ref="B33:C33"/>
    <mergeCell ref="B39:C39"/>
    <mergeCell ref="B77:C77"/>
    <mergeCell ref="B76:C76"/>
    <mergeCell ref="B74:C74"/>
    <mergeCell ref="B49:C49"/>
    <mergeCell ref="B59:C59"/>
    <mergeCell ref="B32:C32"/>
    <mergeCell ref="B63:C63"/>
    <mergeCell ref="B65:C65"/>
    <mergeCell ref="B78:C78"/>
    <mergeCell ref="B73:C73"/>
    <mergeCell ref="B75:C75"/>
    <mergeCell ref="B66:C66"/>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13" sqref="G13"/>
    </sheetView>
  </sheetViews>
  <sheetFormatPr defaultColWidth="9.21875" defaultRowHeight="14.4" x14ac:dyDescent="0.3"/>
  <cols>
    <col min="1" max="1" width="1.21875" customWidth="1"/>
    <col min="2" max="2" width="22.77734375" customWidth="1"/>
    <col min="3" max="10" width="12.21875" customWidth="1"/>
    <col min="11" max="11" width="1.21875" customWidth="1"/>
    <col min="12" max="12" width="22.77734375" customWidth="1"/>
    <col min="13" max="20" width="12.21875" customWidth="1"/>
  </cols>
  <sheetData>
    <row r="1" spans="2:14" x14ac:dyDescent="0.3">
      <c r="B1" s="86" t="s">
        <v>152</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26"/>
      <c r="I7" s="226"/>
      <c r="J7" s="226"/>
      <c r="K7" s="226"/>
      <c r="L7" s="226"/>
      <c r="M7" s="226"/>
      <c r="N7" s="226"/>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