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defaultThemeVersion="124226"/>
  <mc:AlternateContent xmlns:mc="http://schemas.openxmlformats.org/markup-compatibility/2006">
    <mc:Choice Requires="x15">
      <x15ac:absPath xmlns:x15ac="http://schemas.microsoft.com/office/spreadsheetml/2010/11/ac" url="/Users/brycestreeper/Downloads/"/>
    </mc:Choice>
  </mc:AlternateContent>
  <xr:revisionPtr revIDLastSave="0" documentId="13_ncr:1_{E1591B7E-FB10-A347-96C8-27B43ED648B2}" xr6:coauthVersionLast="45" xr6:coauthVersionMax="45" xr10:uidLastSave="{00000000-0000-0000-0000-000000000000}"/>
  <bookViews>
    <workbookView xWindow="0" yWindow="0" windowWidth="28800" windowHeight="18000"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 l="1"/>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Y81" i="3"/>
  <c r="T43" i="3"/>
  <c r="U43" i="3"/>
  <c r="V43" i="3"/>
  <c r="X43" i="3"/>
  <c r="Y42" i="3"/>
  <c r="T53" i="3"/>
  <c r="U53" i="3"/>
  <c r="V53" i="3"/>
  <c r="X53" i="3"/>
  <c r="Y53" i="3"/>
  <c r="Y52" i="3"/>
  <c r="Y36" i="3"/>
  <c r="T45" i="3"/>
  <c r="U45" i="3"/>
  <c r="V45" i="3"/>
  <c r="X45" i="3"/>
  <c r="Y44" i="3"/>
  <c r="T55" i="3"/>
  <c r="U55" i="3"/>
  <c r="V55" i="3"/>
  <c r="X55" i="3"/>
  <c r="Y55" i="3"/>
  <c r="Y54" i="3"/>
  <c r="Y37" i="3"/>
  <c r="T47" i="3"/>
  <c r="U47" i="3"/>
  <c r="V47" i="3"/>
  <c r="X47" i="3"/>
  <c r="Y47" i="3"/>
  <c r="Y46" i="3"/>
  <c r="T57" i="3"/>
  <c r="U57" i="3"/>
  <c r="V57" i="3"/>
  <c r="X57" i="3"/>
  <c r="Y57" i="3"/>
  <c r="Y56" i="3"/>
  <c r="Y38" i="3"/>
  <c r="T49" i="3"/>
  <c r="U49" i="3"/>
  <c r="V49" i="3"/>
  <c r="X49" i="3"/>
  <c r="Y48" i="3"/>
  <c r="T59" i="3"/>
  <c r="U59" i="3"/>
  <c r="V59" i="3"/>
  <c r="X59" i="3"/>
  <c r="Y59" i="3"/>
  <c r="Y58" i="3"/>
  <c r="Y39" i="3"/>
  <c r="Y40" i="3"/>
  <c r="Y13" i="3"/>
  <c r="Y14" i="3"/>
  <c r="Y15" i="3"/>
  <c r="Y17" i="3"/>
  <c r="Y18" i="3"/>
  <c r="Y19" i="3"/>
  <c r="Y20" i="3"/>
  <c r="Y21" i="3"/>
  <c r="Y23" i="3"/>
  <c r="Y24" i="3"/>
  <c r="Y25" i="3"/>
  <c r="Z81" i="3"/>
  <c r="Z42" i="3"/>
  <c r="Z52" i="3"/>
  <c r="Z36" i="3"/>
  <c r="Z45" i="3"/>
  <c r="Z44" i="3"/>
  <c r="Z54" i="3"/>
  <c r="Z37" i="3"/>
  <c r="Z47" i="3"/>
  <c r="Z46" i="3"/>
  <c r="Z56" i="3"/>
  <c r="Z38" i="3"/>
  <c r="Z49" i="3"/>
  <c r="Z48" i="3"/>
  <c r="Z58" i="3"/>
  <c r="Z39" i="3"/>
  <c r="Z40" i="3"/>
  <c r="Z13" i="3"/>
  <c r="Z14" i="3"/>
  <c r="Z15" i="3"/>
  <c r="Z17" i="3"/>
  <c r="Z18" i="3"/>
  <c r="Z19" i="3"/>
  <c r="Z20" i="3"/>
  <c r="Z21" i="3"/>
  <c r="Z23" i="3"/>
  <c r="Z24" i="3"/>
  <c r="Z25" i="3"/>
  <c r="AA81" i="3"/>
  <c r="AA43" i="3"/>
  <c r="AA42" i="3"/>
  <c r="AA52" i="3"/>
  <c r="AA36" i="3"/>
  <c r="AA45" i="3"/>
  <c r="AA44" i="3"/>
  <c r="AA54" i="3"/>
  <c r="AA37" i="3"/>
  <c r="AA47" i="3"/>
  <c r="AA46" i="3"/>
  <c r="AA56" i="3"/>
  <c r="AA38" i="3"/>
  <c r="AA49" i="3"/>
  <c r="AA48" i="3"/>
  <c r="AA59" i="3"/>
  <c r="AA58" i="3"/>
  <c r="AA39" i="3"/>
  <c r="AA40" i="3"/>
  <c r="AA13" i="3"/>
  <c r="AA14" i="3"/>
  <c r="AA15" i="3"/>
  <c r="AA17" i="3"/>
  <c r="AA18" i="3"/>
  <c r="AA19" i="3"/>
  <c r="AA20" i="3"/>
  <c r="AA21" i="3"/>
  <c r="AA23" i="3"/>
  <c r="AA24" i="3"/>
  <c r="AA25" i="3"/>
  <c r="AC81" i="3"/>
  <c r="AC43" i="3"/>
  <c r="AC42" i="3"/>
  <c r="AC53" i="3"/>
  <c r="AC52" i="3"/>
  <c r="AC36" i="3"/>
  <c r="AC45" i="3"/>
  <c r="AC44" i="3"/>
  <c r="AC55" i="3"/>
  <c r="AC54" i="3"/>
  <c r="AC37" i="3"/>
  <c r="AC47" i="3"/>
  <c r="AC46" i="3"/>
  <c r="AC57" i="3"/>
  <c r="AC56" i="3"/>
  <c r="AC38" i="3"/>
  <c r="AC49" i="3"/>
  <c r="AC48" i="3"/>
  <c r="AC59" i="3"/>
  <c r="AC58" i="3"/>
  <c r="AC39" i="3"/>
  <c r="AC40" i="3"/>
  <c r="AC13" i="3"/>
  <c r="AC14" i="3"/>
  <c r="AC15" i="3"/>
  <c r="AC17" i="3"/>
  <c r="AC18" i="3"/>
  <c r="AC19" i="3"/>
  <c r="AC20" i="3"/>
  <c r="AC21" i="3"/>
  <c r="AC22" i="3"/>
  <c r="AC23" i="3"/>
  <c r="X76" i="3"/>
  <c r="AC76" i="3"/>
  <c r="AC24" i="3"/>
  <c r="AC25" i="3"/>
  <c r="AD81" i="3"/>
  <c r="AD43" i="3"/>
  <c r="AD42" i="3"/>
  <c r="AD53" i="3"/>
  <c r="AD52" i="3"/>
  <c r="AD36" i="3"/>
  <c r="AD45" i="3"/>
  <c r="AD44" i="3"/>
  <c r="AD55" i="3"/>
  <c r="AD54" i="3"/>
  <c r="AD37" i="3"/>
  <c r="AD47" i="3"/>
  <c r="AD46" i="3"/>
  <c r="AD57" i="3"/>
  <c r="AD56" i="3"/>
  <c r="AD38" i="3"/>
  <c r="AD49" i="3"/>
  <c r="AD48" i="3"/>
  <c r="AD59" i="3"/>
  <c r="AD58" i="3"/>
  <c r="AD39" i="3"/>
  <c r="AD40" i="3"/>
  <c r="AD13" i="3"/>
  <c r="AD14" i="3"/>
  <c r="AD15" i="3"/>
  <c r="AD17" i="3"/>
  <c r="AD18" i="3"/>
  <c r="AD19" i="3"/>
  <c r="AD20" i="3"/>
  <c r="AD21" i="3"/>
  <c r="AD22" i="3"/>
  <c r="AD23" i="3"/>
  <c r="AD76" i="3"/>
  <c r="AD24" i="3"/>
  <c r="AD25" i="3"/>
  <c r="AE81" i="3"/>
  <c r="AE43" i="3"/>
  <c r="AE42" i="3"/>
  <c r="AE53" i="3"/>
  <c r="AE52" i="3"/>
  <c r="AE36" i="3"/>
  <c r="AE45" i="3"/>
  <c r="AE44" i="3"/>
  <c r="AE55" i="3"/>
  <c r="AE54" i="3"/>
  <c r="AE37" i="3"/>
  <c r="AE47" i="3"/>
  <c r="AE46" i="3"/>
  <c r="AE57" i="3"/>
  <c r="AE56" i="3"/>
  <c r="AE38" i="3"/>
  <c r="AE49" i="3"/>
  <c r="AE48" i="3"/>
  <c r="AE59" i="3"/>
  <c r="AE58" i="3"/>
  <c r="AE39" i="3"/>
  <c r="AE40" i="3"/>
  <c r="AE13" i="3"/>
  <c r="AE14" i="3"/>
  <c r="AE15" i="3"/>
  <c r="AE70" i="3"/>
  <c r="AE17" i="3"/>
  <c r="AE71" i="3"/>
  <c r="AE18" i="3"/>
  <c r="AE72" i="3"/>
  <c r="AE19" i="3"/>
  <c r="AE20" i="3"/>
  <c r="AE21" i="3"/>
  <c r="AE22" i="3"/>
  <c r="AE23" i="3"/>
  <c r="AE76" i="3"/>
  <c r="AE24" i="3"/>
  <c r="AE25" i="3"/>
  <c r="AF81" i="3"/>
  <c r="AF43" i="3"/>
  <c r="AF42" i="3"/>
  <c r="AF53" i="3"/>
  <c r="AF52" i="3"/>
  <c r="AF36" i="3"/>
  <c r="AF45" i="3"/>
  <c r="AF44" i="3"/>
  <c r="AF55" i="3"/>
  <c r="AF54" i="3"/>
  <c r="AF37" i="3"/>
  <c r="AF47" i="3"/>
  <c r="AF46" i="3"/>
  <c r="AF57" i="3"/>
  <c r="AF56" i="3"/>
  <c r="AF38" i="3"/>
  <c r="AF49" i="3"/>
  <c r="AF48" i="3"/>
  <c r="AF59" i="3"/>
  <c r="AF58" i="3"/>
  <c r="AF39" i="3"/>
  <c r="AF40" i="3"/>
  <c r="AF13" i="3"/>
  <c r="AF14" i="3"/>
  <c r="AF15" i="3"/>
  <c r="AF70" i="3"/>
  <c r="AF17" i="3"/>
  <c r="AF18" i="3"/>
  <c r="AF19" i="3"/>
  <c r="AF20" i="3"/>
  <c r="AF21" i="3"/>
  <c r="AF22"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13" i="3"/>
  <c r="AB14" i="3"/>
  <c r="AB15" i="3"/>
  <c r="AB17" i="3"/>
  <c r="AB18" i="3"/>
  <c r="AB19" i="3"/>
  <c r="AB20" i="3"/>
  <c r="AB21" i="3"/>
  <c r="AB22" i="3"/>
  <c r="AB23" i="3"/>
  <c r="AB24" i="3"/>
  <c r="AB25" i="3"/>
  <c r="AG13" i="3"/>
  <c r="AG14" i="3"/>
  <c r="AG15" i="3"/>
  <c r="AG17" i="3"/>
  <c r="AG18" i="3"/>
  <c r="AG19" i="3"/>
  <c r="AG20" i="3"/>
  <c r="AG21" i="3"/>
  <c r="AG22" i="3"/>
  <c r="AG23" i="3"/>
  <c r="AG24" i="3"/>
  <c r="AG25" i="3"/>
  <c r="W29" i="3"/>
  <c r="T80" i="3"/>
  <c r="T82" i="3"/>
  <c r="T79" i="3"/>
  <c r="U80" i="3"/>
  <c r="U82" i="3"/>
  <c r="U79" i="3"/>
  <c r="V80" i="3"/>
  <c r="V82" i="3"/>
  <c r="V79" i="3"/>
  <c r="X80" i="3"/>
  <c r="X82" i="3"/>
  <c r="X79" i="3"/>
  <c r="Y82" i="3"/>
  <c r="Y29" i="3"/>
  <c r="Z82" i="3"/>
  <c r="Z29" i="3"/>
  <c r="AA82" i="3"/>
  <c r="AA29" i="3"/>
  <c r="AB29" i="3"/>
  <c r="AC79" i="3"/>
  <c r="AC82" i="3"/>
  <c r="AC29" i="3"/>
  <c r="AD79" i="3"/>
  <c r="AD82" i="3"/>
  <c r="AD29" i="3"/>
  <c r="AE82" i="3"/>
  <c r="AE29" i="3"/>
  <c r="AF79" i="3"/>
  <c r="AF82" i="3"/>
  <c r="AF29" i="3"/>
  <c r="AG29" i="3"/>
  <c r="U31" i="3"/>
  <c r="V31" i="3"/>
  <c r="X31" i="3"/>
  <c r="Y31" i="3"/>
  <c r="AD84" i="3"/>
  <c r="AE84" i="3"/>
  <c r="AF84" i="3"/>
  <c r="Y84" i="3"/>
  <c r="X69" i="3"/>
  <c r="X70" i="3"/>
  <c r="X71" i="3"/>
  <c r="X72" i="3"/>
  <c r="AG73" i="3"/>
  <c r="AB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AE88" i="3"/>
  <c r="AF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rgb="FF000000"/>
            <rFont val="Tahoma"/>
            <family val="2"/>
          </rPr>
          <t>2Q2019 Earnings Call Guidance:</t>
        </r>
        <r>
          <rPr>
            <sz val="9"/>
            <color rgb="FF000000"/>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t>
        </r>
        <r>
          <rPr>
            <sz val="9"/>
            <color rgb="FF000000"/>
            <rFont val="Tahoma"/>
            <family val="2"/>
          </rPr>
          <t>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<sst xmlns="http://schemas.openxmlformats.org/spreadsheetml/2006/main" count="439" uniqueCount="157">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</sst>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3" tint="0.59999389629810485"/>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6">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165" fontId="61" fillId="9" borderId="0" xfId="1" applyNumberFormat="1" applyFont="1" applyFill="1" applyAlignment="1">
      <alignment horizontal="right"/>
    </xf>
    <xf numFmtId="165" fontId="61" fillId="9" borderId="5" xfId="1" applyNumberFormat="1"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43" fontId="63" fillId="9" borderId="7" xfId="1" applyFont="1" applyFill="1" applyBorder="1" applyAlignment="1">
      <alignment horizontal="right"/>
    </xf>
    <xf numFmtId="43" fontId="63" fillId="9" borderId="8" xfId="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xf numFmtId="9" fontId="61" fillId="12" borderId="0" xfId="2" applyFont="1" applyFill="1" applyAlignment="1">
      <alignment horizontal="right"/>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2606.7223902215874</c:v>
                </c:pt>
                <c:pt idx="5">
                  <c:v>2628.4639617285657</c:v>
                </c:pt>
                <c:pt idx="6">
                  <c:v>2676.8782972284712</c:v>
                </c:pt>
                <c:pt idx="7">
                  <c:v>2812.6266040721152</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6.6387928470440292</c:v>
                </c:pt>
                <c:pt idx="5">
                  <c:v>6.9425065990607404</c:v>
                </c:pt>
                <c:pt idx="6">
                  <c:v>8.6320185424379332</c:v>
                </c:pt>
                <c:pt idx="7">
                  <c:v>7.5864339260554638</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topLeftCell="A3" zoomScale="130" zoomScaleNormal="130" workbookViewId="0">
      <selection activeCell="B7" sqref="B7"/>
    </sheetView>
  </sheetViews>
  <sheetFormatPr baseColWidth="10" defaultColWidth="8.83203125" defaultRowHeight="15"/>
  <cols>
    <col min="1" max="1" width="1" customWidth="1"/>
    <col min="2" max="2" width="182.6640625" style="118" customWidth="1"/>
  </cols>
  <sheetData>
    <row r="2" spans="2:2" ht="22">
      <c r="B2" s="123" t="s">
        <v>119</v>
      </c>
    </row>
    <row r="3" spans="2:2" ht="128">
      <c r="B3" s="113" t="s">
        <v>152</v>
      </c>
    </row>
    <row r="4" spans="2:2" ht="32">
      <c r="B4" s="114" t="s">
        <v>120</v>
      </c>
    </row>
    <row r="5" spans="2:2" ht="32">
      <c r="B5" s="114" t="s">
        <v>132</v>
      </c>
    </row>
    <row r="6" spans="2:2" ht="112">
      <c r="B6" s="114" t="s">
        <v>121</v>
      </c>
    </row>
    <row r="7" spans="2:2" ht="32">
      <c r="B7" s="113" t="s">
        <v>140</v>
      </c>
    </row>
    <row r="8" spans="2:2" ht="32">
      <c r="B8" s="114" t="s">
        <v>122</v>
      </c>
    </row>
    <row r="9" spans="2:2" ht="16">
      <c r="B9" s="114" t="s">
        <v>123</v>
      </c>
    </row>
    <row r="10" spans="2:2" ht="64">
      <c r="B10" s="124" t="s">
        <v>124</v>
      </c>
    </row>
    <row r="11" spans="2:2" ht="16">
      <c r="B11" s="113" t="s">
        <v>133</v>
      </c>
    </row>
    <row r="12" spans="2:2" ht="16">
      <c r="B12" s="114" t="s">
        <v>125</v>
      </c>
    </row>
    <row r="13" spans="2:2" ht="48">
      <c r="B13" s="113" t="s">
        <v>134</v>
      </c>
    </row>
    <row r="14" spans="2:2" ht="16">
      <c r="B14" s="125" t="s">
        <v>126</v>
      </c>
    </row>
    <row r="15" spans="2:2" ht="16">
      <c r="B15" s="115" t="s">
        <v>127</v>
      </c>
    </row>
    <row r="16" spans="2:2" ht="16">
      <c r="B16" s="115" t="s">
        <v>128</v>
      </c>
    </row>
    <row r="17" spans="2:2" ht="162" customHeight="1">
      <c r="B17" s="126" t="s">
        <v>129</v>
      </c>
    </row>
    <row r="18" spans="2:2" ht="16">
      <c r="B18" s="116" t="s">
        <v>130</v>
      </c>
    </row>
    <row r="19" spans="2:2" ht="16">
      <c r="B19" s="117" t="s">
        <v>131</v>
      </c>
    </row>
    <row r="21" spans="2:2" ht="22">
      <c r="B21" s="123" t="s">
        <v>135</v>
      </c>
    </row>
    <row r="22" spans="2:2" ht="16">
      <c r="B22" s="119" t="s">
        <v>136</v>
      </c>
    </row>
    <row r="23" spans="2:2" ht="96">
      <c r="B23" s="120" t="s">
        <v>137</v>
      </c>
    </row>
    <row r="24" spans="2:2" ht="48">
      <c r="B24" s="121" t="s">
        <v>138</v>
      </c>
    </row>
    <row r="25" spans="2:2" ht="176">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140" zoomScaleNormal="140" workbookViewId="0">
      <pane xSplit="3" ySplit="12" topLeftCell="H13" activePane="bottomRight" state="frozen"/>
      <selection pane="topRight" activeCell="D1" sqref="D1"/>
      <selection pane="bottomLeft" activeCell="A13" sqref="A13"/>
      <selection pane="bottomRight" activeCell="B4" sqref="B4:C4"/>
    </sheetView>
  </sheetViews>
  <sheetFormatPr baseColWidth="10" defaultColWidth="8.83203125" defaultRowHeight="15" outlineLevelRow="1" outlineLevelCol="1"/>
  <cols>
    <col min="1" max="1" width="1.6640625" style="4" customWidth="1"/>
    <col min="2" max="2" width="37.83203125" style="4" customWidth="1"/>
    <col min="3" max="3" width="10.6640625" style="4" customWidth="1"/>
    <col min="4" max="5" width="11.5" style="3" hidden="1" customWidth="1" outlineLevel="1"/>
    <col min="6" max="7" width="11.5" style="11" hidden="1" customWidth="1" outlineLevel="1"/>
    <col min="8" max="8" width="11.5" style="11" customWidth="1" collapsed="1"/>
    <col min="9" max="10" width="11.5" style="3" hidden="1" customWidth="1" outlineLevel="1"/>
    <col min="11" max="12" width="11.5" style="11" hidden="1" customWidth="1" outlineLevel="1"/>
    <col min="13" max="13" width="11.5" style="11" customWidth="1" collapsed="1"/>
    <col min="14" max="15" width="11.5" style="3" hidden="1" customWidth="1" outlineLevel="1"/>
    <col min="16" max="17" width="11.5" style="11" hidden="1" customWidth="1" outlineLevel="1"/>
    <col min="18" max="18" width="11.5" style="11" customWidth="1" collapsed="1"/>
    <col min="19" max="20" width="11.5" style="3" customWidth="1" outlineLevel="1"/>
    <col min="21" max="22" width="11.5" style="11" customWidth="1" outlineLevel="1"/>
    <col min="23" max="23" width="11.5" style="11" customWidth="1"/>
    <col min="24" max="25" width="11.5" style="3" customWidth="1" outlineLevel="1"/>
    <col min="26" max="27" width="11.5" style="11" customWidth="1" outlineLevel="1"/>
    <col min="28" max="28" width="11.5" style="11" customWidth="1"/>
    <col min="29" max="30" width="11.5" style="3" customWidth="1" outlineLevel="1"/>
    <col min="31" max="32" width="11.5" style="11" customWidth="1" outlineLevel="1"/>
    <col min="33" max="33" width="11.5" style="11" customWidth="1"/>
    <col min="34" max="36" width="8.83203125" style="4"/>
    <col min="37" max="37" width="10.5" style="4" bestFit="1" customWidth="1"/>
    <col min="38" max="16384" width="8.83203125" style="4"/>
  </cols>
  <sheetData>
    <row r="1" spans="1:61" ht="9" customHeight="1">
      <c r="B1" s="127" t="s">
        <v>15</v>
      </c>
    </row>
    <row r="2" spans="1:61" ht="59.25" customHeight="1">
      <c r="B2" s="207" t="s">
        <v>14</v>
      </c>
      <c r="C2" s="208"/>
      <c r="K2" s="12"/>
    </row>
    <row r="3" spans="1:61">
      <c r="B3" s="193" t="s">
        <v>154</v>
      </c>
      <c r="C3" s="194"/>
      <c r="D3" s="13"/>
      <c r="G3" s="14"/>
      <c r="H3" s="14"/>
    </row>
    <row r="4" spans="1:61">
      <c r="B4" s="195" t="s">
        <v>155</v>
      </c>
      <c r="C4" s="196"/>
      <c r="D4" s="13"/>
      <c r="G4" s="14"/>
      <c r="H4" s="14"/>
      <c r="BI4" s="4" t="s">
        <v>15</v>
      </c>
    </row>
    <row r="5" spans="1:61">
      <c r="B5" s="197" t="s">
        <v>156</v>
      </c>
      <c r="C5" s="198"/>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 hidden="1" customHeight="1">
      <c r="B6" s="173"/>
      <c r="C6" s="174"/>
      <c r="D6" s="175"/>
      <c r="E6" s="175"/>
      <c r="F6" s="175"/>
      <c r="G6" s="154"/>
      <c r="H6" s="154"/>
      <c r="I6" s="175"/>
      <c r="J6" s="175"/>
      <c r="K6" s="175"/>
      <c r="L6" s="175"/>
      <c r="M6" s="176"/>
      <c r="N6" s="175"/>
      <c r="O6" s="175"/>
      <c r="P6" s="175"/>
      <c r="Q6" s="175"/>
      <c r="R6" s="175"/>
      <c r="S6" s="175"/>
      <c r="T6" s="177"/>
      <c r="U6" s="178"/>
      <c r="V6" s="175"/>
      <c r="W6" s="177"/>
      <c r="X6" s="175"/>
      <c r="Y6" s="175"/>
      <c r="Z6" s="175"/>
      <c r="AA6" s="175"/>
      <c r="AB6" s="175"/>
      <c r="AC6" s="175"/>
      <c r="AD6" s="175"/>
      <c r="AE6" s="175"/>
      <c r="AF6" s="175"/>
      <c r="AG6" s="175"/>
    </row>
    <row r="7" spans="1:61" s="138" customFormat="1" ht="14.5" hidden="1" customHeight="1">
      <c r="B7" s="179"/>
      <c r="C7" s="180"/>
      <c r="D7" s="175"/>
      <c r="E7" s="175"/>
      <c r="F7" s="175"/>
      <c r="G7" s="175"/>
      <c r="H7" s="142"/>
      <c r="I7" s="142"/>
      <c r="J7" s="142"/>
      <c r="K7" s="142"/>
      <c r="L7" s="142"/>
      <c r="M7" s="142"/>
      <c r="N7" s="142"/>
      <c r="O7" s="142"/>
      <c r="P7" s="142"/>
      <c r="Q7" s="142"/>
      <c r="R7" s="142"/>
      <c r="S7" s="142"/>
      <c r="T7" s="177"/>
      <c r="U7" s="178"/>
      <c r="V7" s="142"/>
      <c r="W7" s="177"/>
      <c r="X7" s="142"/>
      <c r="Y7" s="142"/>
      <c r="Z7" s="142"/>
      <c r="AA7" s="142"/>
      <c r="AB7" s="142"/>
      <c r="AC7" s="142"/>
      <c r="AD7" s="142"/>
      <c r="AE7" s="142"/>
      <c r="AF7" s="142"/>
      <c r="AG7" s="142"/>
    </row>
    <row r="8" spans="1:61" s="138" customFormat="1" ht="14.5" hidden="1" customHeight="1">
      <c r="B8" s="179"/>
      <c r="C8" s="181"/>
      <c r="D8" s="175"/>
      <c r="E8" s="175"/>
      <c r="F8" s="153"/>
      <c r="G8" s="175"/>
      <c r="H8" s="142"/>
      <c r="I8" s="142"/>
      <c r="J8" s="142"/>
      <c r="K8" s="142"/>
      <c r="L8" s="142"/>
      <c r="M8" s="142"/>
      <c r="N8" s="142"/>
      <c r="O8" s="182"/>
      <c r="P8" s="142"/>
      <c r="Q8" s="142"/>
      <c r="R8" s="142"/>
      <c r="S8" s="133"/>
      <c r="T8" s="177"/>
      <c r="U8" s="183"/>
      <c r="V8" s="183"/>
      <c r="W8" s="133"/>
      <c r="X8" s="183"/>
      <c r="Y8" s="183"/>
      <c r="Z8" s="144"/>
      <c r="AA8" s="140"/>
      <c r="AB8" s="144"/>
      <c r="AC8" s="133"/>
      <c r="AD8" s="133"/>
      <c r="AE8" s="133"/>
      <c r="AF8" s="144"/>
      <c r="AG8" s="133"/>
    </row>
    <row r="9" spans="1:61" s="138" customFormat="1" ht="14.5" hidden="1" customHeight="1">
      <c r="B9" s="184"/>
      <c r="C9" s="185"/>
      <c r="D9" s="175"/>
      <c r="E9" s="175"/>
      <c r="F9" s="153"/>
      <c r="G9" s="175"/>
      <c r="H9" s="144"/>
      <c r="I9" s="144"/>
      <c r="J9" s="144"/>
      <c r="K9" s="144"/>
      <c r="L9" s="144"/>
      <c r="M9" s="144"/>
      <c r="N9" s="144"/>
      <c r="O9" s="144"/>
      <c r="P9" s="144"/>
      <c r="Q9" s="144"/>
      <c r="R9" s="144"/>
      <c r="S9" s="151"/>
      <c r="T9" s="133"/>
      <c r="U9" s="186"/>
      <c r="V9" s="187"/>
      <c r="W9" s="142"/>
      <c r="X9" s="188"/>
      <c r="Y9" s="142"/>
      <c r="Z9" s="142"/>
      <c r="AA9" s="142"/>
      <c r="AB9" s="144"/>
      <c r="AC9" s="144"/>
      <c r="AD9" s="144"/>
      <c r="AE9" s="144"/>
      <c r="AF9" s="144"/>
      <c r="AG9" s="144"/>
    </row>
    <row r="10" spans="1:61" ht="17.5" customHeight="1">
      <c r="B10" s="127" t="s">
        <v>15</v>
      </c>
      <c r="D10" s="17"/>
      <c r="E10" s="17"/>
      <c r="F10" s="17"/>
      <c r="G10" s="17"/>
      <c r="H10" s="18"/>
      <c r="I10" s="17"/>
      <c r="J10" s="17"/>
      <c r="K10" s="17"/>
      <c r="L10" s="17"/>
      <c r="M10" s="17"/>
      <c r="N10" s="17"/>
      <c r="O10" s="17"/>
      <c r="P10" s="17"/>
      <c r="Q10" s="17"/>
      <c r="R10" s="17"/>
      <c r="S10" s="110"/>
      <c r="T10" s="110"/>
      <c r="U10" s="161"/>
      <c r="V10" s="171"/>
      <c r="W10" s="172"/>
      <c r="X10" s="161"/>
      <c r="Y10" s="110"/>
      <c r="Z10" s="110"/>
      <c r="AA10" s="111"/>
      <c r="AB10" s="13"/>
      <c r="AC10" s="110"/>
      <c r="AD10" s="110"/>
      <c r="AE10" s="110"/>
      <c r="AF10" s="111"/>
      <c r="AG10" s="13"/>
    </row>
    <row r="11" spans="1:61" ht="16">
      <c r="A11" s="211"/>
      <c r="B11" s="191" t="s">
        <v>74</v>
      </c>
      <c r="C11" s="19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 customHeight="1">
      <c r="A12" s="211"/>
      <c r="B12" s="199" t="s">
        <v>3</v>
      </c>
      <c r="C12" s="200"/>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c r="A13" s="138"/>
      <c r="B13" s="189" t="s">
        <v>19</v>
      </c>
      <c r="C13" s="19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65">
        <f t="shared" ref="Y13:AA13" si="0">+Y40</f>
        <v>17293.133869644098</v>
      </c>
      <c r="Z13" s="165">
        <f t="shared" si="0"/>
        <v>18172.65789786333</v>
      </c>
      <c r="AA13" s="165">
        <f t="shared" si="0"/>
        <v>22897.906376648345</v>
      </c>
      <c r="AB13" s="128">
        <f>SUM(X13:AA13)</f>
        <v>76100.698144155773</v>
      </c>
      <c r="AC13" s="165">
        <f t="shared" ref="AC13:AF13" si="1">+AC40</f>
        <v>20822.883110237261</v>
      </c>
      <c r="AD13" s="29">
        <f t="shared" si="1"/>
        <v>20651.835517722193</v>
      </c>
      <c r="AE13" s="29">
        <f t="shared" si="1"/>
        <v>22488.362702760227</v>
      </c>
      <c r="AF13" s="29">
        <f t="shared" si="1"/>
        <v>29477.316113537312</v>
      </c>
      <c r="AG13" s="166">
        <f>SUM(AC13:AF13)</f>
        <v>93440.397444256989</v>
      </c>
    </row>
    <row r="14" spans="1:61" ht="18">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3804.4894513217009</v>
      </c>
      <c r="Z14" s="135">
        <f>+Z13*(1-Z69)</f>
        <v>4361.4378954871991</v>
      </c>
      <c r="AA14" s="135">
        <f>+AA13*(1-AA69)</f>
        <v>5037.5394028626351</v>
      </c>
      <c r="AB14" s="129">
        <f>SUM(X14:AA14)</f>
        <v>16662.466749671534</v>
      </c>
      <c r="AC14" s="34">
        <f>+AC13*(1-AC69)</f>
        <v>4164.5766220474516</v>
      </c>
      <c r="AD14" s="34">
        <f>+AD13*(1-AD69)</f>
        <v>3923.8487483672156</v>
      </c>
      <c r="AE14" s="34">
        <f>+AE13*(1-AE69)</f>
        <v>4272.7889135244423</v>
      </c>
      <c r="AF14" s="34">
        <f>+AF13*(1-AF69)</f>
        <v>5305.9169004367177</v>
      </c>
      <c r="AG14" s="129">
        <f>SUM(AC14:AF14)</f>
        <v>17667.131184375827</v>
      </c>
    </row>
    <row r="15" spans="1:61" s="21" customFormat="1">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13488.644418322398</v>
      </c>
      <c r="Z15" s="40">
        <f t="shared" ref="Z15" si="13">+Z13-Z14</f>
        <v>13811.220002376131</v>
      </c>
      <c r="AA15" s="40">
        <f t="shared" ref="AA15" si="14">+AA13-AA14</f>
        <v>17860.366973785709</v>
      </c>
      <c r="AB15" s="130">
        <f>+AB13-AB14</f>
        <v>59438.231394484239</v>
      </c>
      <c r="AC15" s="40">
        <f>+AC13-AC14</f>
        <v>16658.30648818981</v>
      </c>
      <c r="AD15" s="40">
        <f t="shared" ref="AD15" si="15">+AD13-AD14</f>
        <v>16727.986769354979</v>
      </c>
      <c r="AE15" s="40">
        <f t="shared" ref="AE15" si="16">+AE13-AE14</f>
        <v>18215.573789235787</v>
      </c>
      <c r="AF15" s="40">
        <f t="shared" ref="AF15" si="17">+AF13-AF14</f>
        <v>24171.399213100594</v>
      </c>
      <c r="AG15" s="130">
        <f>+AG13-AG14</f>
        <v>75773.266259881158</v>
      </c>
    </row>
    <row r="16" spans="1:61">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4150.3521287145832</v>
      </c>
      <c r="Z17" s="29">
        <f>+Z13*Z70</f>
        <v>4270.5746059978819</v>
      </c>
      <c r="AA17" s="29">
        <f>+AA13*AA70</f>
        <v>5037.5394028626361</v>
      </c>
      <c r="AB17" s="128">
        <f t="shared" ref="AB17:AB19" si="22">SUM(X17:AA17)</f>
        <v>17473.466137575102</v>
      </c>
      <c r="AC17" s="29">
        <f>+AC13*AC70</f>
        <v>4893.3775309057555</v>
      </c>
      <c r="AD17" s="29">
        <f>+AD13*AD70</f>
        <v>4543.4038138988826</v>
      </c>
      <c r="AE17" s="29">
        <f>+AE13*AE70</f>
        <v>4947.4397946072504</v>
      </c>
      <c r="AF17" s="29">
        <f>+AF13*AF70</f>
        <v>6485.0095449782084</v>
      </c>
      <c r="AG17" s="128">
        <f t="shared" ref="AG17:AG19" si="23">SUM(AC17:AF17)</f>
        <v>20869.230684390099</v>
      </c>
    </row>
    <row r="18" spans="1:3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2939.8327578394969</v>
      </c>
      <c r="Z18" s="29">
        <f>+Z13*Z71</f>
        <v>2998.4885531474497</v>
      </c>
      <c r="AA18" s="29">
        <f>+AA13*AA71</f>
        <v>3434.6859564972515</v>
      </c>
      <c r="AB18" s="128">
        <f t="shared" si="22"/>
        <v>12160.007267484198</v>
      </c>
      <c r="AC18" s="29">
        <f>+AC13*AC71</f>
        <v>3414.9528300789107</v>
      </c>
      <c r="AD18" s="29">
        <f>+AD13*AD71</f>
        <v>3304.293682835551</v>
      </c>
      <c r="AE18" s="29">
        <f>+AE13*AE71</f>
        <v>3598.1380324416364</v>
      </c>
      <c r="AF18" s="29">
        <f>+AF13*AF71</f>
        <v>4716.3705781659701</v>
      </c>
      <c r="AG18" s="128">
        <f t="shared" si="23"/>
        <v>15033.755123522069</v>
      </c>
    </row>
    <row r="19" spans="1:33" ht="17.25" customHeight="1">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1902.2447256608507</v>
      </c>
      <c r="Z19" s="34">
        <f>Z13*Z72</f>
        <v>1617.3665529098362</v>
      </c>
      <c r="AA19" s="34">
        <f>AA13*AA72</f>
        <v>1808.9346037552193</v>
      </c>
      <c r="AB19" s="129">
        <f t="shared" si="22"/>
        <v>6911.5458823259059</v>
      </c>
      <c r="AC19" s="34">
        <f>AC13*AC72</f>
        <v>1874.0594799213534</v>
      </c>
      <c r="AD19" s="34">
        <f>AD13*AD72</f>
        <v>1652.1468414177755</v>
      </c>
      <c r="AE19" s="34">
        <f>AE13*AE72</f>
        <v>1799.0690162208182</v>
      </c>
      <c r="AF19" s="34">
        <f>AF13*AF72</f>
        <v>2181.3213924017609</v>
      </c>
      <c r="AG19" s="129">
        <f t="shared" si="23"/>
        <v>7506.5967299617078</v>
      </c>
    </row>
    <row r="20" spans="1:33" s="39" customFormat="1" ht="17.25" customHeight="1">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8992.4296122149299</v>
      </c>
      <c r="Z20" s="37">
        <f t="shared" si="24"/>
        <v>8886.4297120551673</v>
      </c>
      <c r="AA20" s="37">
        <f t="shared" si="24"/>
        <v>10281.159963115106</v>
      </c>
      <c r="AB20" s="131">
        <f t="shared" si="24"/>
        <v>36545.019287385207</v>
      </c>
      <c r="AC20" s="37">
        <f t="shared" si="24"/>
        <v>10182.38984090602</v>
      </c>
      <c r="AD20" s="37">
        <f t="shared" si="24"/>
        <v>9499.8443381522102</v>
      </c>
      <c r="AE20" s="37">
        <f t="shared" si="24"/>
        <v>10344.646843269704</v>
      </c>
      <c r="AF20" s="37">
        <f t="shared" si="24"/>
        <v>13382.701515545941</v>
      </c>
      <c r="AG20" s="131">
        <f t="shared" si="24"/>
        <v>43409.582537873881</v>
      </c>
    </row>
    <row r="21" spans="1:3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4496.2148061074677</v>
      </c>
      <c r="Z21" s="40">
        <f t="shared" ref="Z21" si="33">Z15-Z20</f>
        <v>4924.7902903209633</v>
      </c>
      <c r="AA21" s="40">
        <f>AA15-AA20</f>
        <v>7579.2070106706033</v>
      </c>
      <c r="AB21" s="130">
        <f>AB15-AB20</f>
        <v>22893.212107099032</v>
      </c>
      <c r="AC21" s="40">
        <f>AC15-AC20</f>
        <v>6475.9166472837896</v>
      </c>
      <c r="AD21" s="40">
        <f t="shared" ref="AD21" si="34">AD15-AD20</f>
        <v>7228.1424312027684</v>
      </c>
      <c r="AE21" s="40">
        <f t="shared" ref="AE21" si="35">AE15-AE20</f>
        <v>7870.9269459660827</v>
      </c>
      <c r="AF21" s="40">
        <f>AF15-AF20</f>
        <v>10788.697697554653</v>
      </c>
      <c r="AG21" s="130">
        <f>AG15-AG20</f>
        <v>32363.683722007278</v>
      </c>
    </row>
    <row r="22" spans="1:33" ht="18">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v>60</v>
      </c>
      <c r="Z22" s="57">
        <v>80</v>
      </c>
      <c r="AA22" s="57">
        <v>90</v>
      </c>
      <c r="AB22" s="129">
        <f t="shared" ref="AB22" si="40">SUM(X22:AA22)</f>
        <v>198</v>
      </c>
      <c r="AC22" s="57">
        <f>AVERAGE(AA22,Z22,Y22,X22)</f>
        <v>49.5</v>
      </c>
      <c r="AD22" s="57">
        <f>AVERAGE(AC22,AA22,Z22,Y22)</f>
        <v>69.875</v>
      </c>
      <c r="AE22" s="57">
        <f>AVERAGE(AD22,AC22,AA22,Z22)</f>
        <v>72.34375</v>
      </c>
      <c r="AF22" s="57">
        <f>AVERAGE(AE22,AD22,AC22,AA22)</f>
        <v>70.4296875</v>
      </c>
      <c r="AG22" s="129">
        <f t="shared" ref="AG22" si="41">SUM(AC22:AF22)</f>
        <v>262.1484375</v>
      </c>
    </row>
    <row r="23" spans="1:33">
      <c r="A23" s="138"/>
      <c r="B23" s="201" t="s">
        <v>23</v>
      </c>
      <c r="C23" s="202"/>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4556.2148061074677</v>
      </c>
      <c r="Z23" s="40">
        <f t="shared" si="42"/>
        <v>5004.7902903209633</v>
      </c>
      <c r="AA23" s="40">
        <f t="shared" si="42"/>
        <v>7669.2070106706033</v>
      </c>
      <c r="AB23" s="130">
        <f t="shared" si="42"/>
        <v>23091.212107099032</v>
      </c>
      <c r="AC23" s="40">
        <f t="shared" si="42"/>
        <v>6525.4166472837896</v>
      </c>
      <c r="AD23" s="40">
        <f t="shared" si="42"/>
        <v>7298.0174312027684</v>
      </c>
      <c r="AE23" s="40">
        <f t="shared" si="42"/>
        <v>7943.2706959660827</v>
      </c>
      <c r="AF23" s="40">
        <f t="shared" si="42"/>
        <v>10859.127385054653</v>
      </c>
      <c r="AG23" s="130">
        <f t="shared" si="42"/>
        <v>32625.832159507278</v>
      </c>
    </row>
    <row r="24" spans="1:33" ht="18">
      <c r="A24" s="138"/>
      <c r="B24" s="189" t="s">
        <v>7</v>
      </c>
      <c r="C24" s="19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-820.11866509934418</v>
      </c>
      <c r="Z24" s="34">
        <f>+Z23*-Z76</f>
        <v>-900.86225225777332</v>
      </c>
      <c r="AA24" s="34">
        <f>+AA23*-AA76</f>
        <v>-1380.4572619207086</v>
      </c>
      <c r="AB24" s="129">
        <f>SUM(X24:AA24)</f>
        <v>-4060.4381792778258</v>
      </c>
      <c r="AC24" s="34">
        <f>+AC23*-AC76</f>
        <v>-1147.859867275188</v>
      </c>
      <c r="AD24" s="34">
        <f>+AD23*-AD76</f>
        <v>-1324.18379326576</v>
      </c>
      <c r="AE24" s="34">
        <f>+AE23*-AE76</f>
        <v>-1444.129483213351</v>
      </c>
      <c r="AF24" s="34">
        <f>+AF23*-AF76</f>
        <v>-1979.1492257750128</v>
      </c>
      <c r="AG24" s="129">
        <f>SUM(AC24:AF24)</f>
        <v>-5895.3223695293109</v>
      </c>
    </row>
    <row r="25" spans="1:33">
      <c r="A25" s="145"/>
      <c r="B25" s="201" t="s">
        <v>8</v>
      </c>
      <c r="C25" s="202"/>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3736.0961410081236</v>
      </c>
      <c r="Z25" s="40">
        <f t="shared" si="43"/>
        <v>4103.9280380631899</v>
      </c>
      <c r="AA25" s="40">
        <f t="shared" si="43"/>
        <v>6288.7497487498949</v>
      </c>
      <c r="AB25" s="130">
        <f t="shared" si="43"/>
        <v>19030.773927821207</v>
      </c>
      <c r="AC25" s="40">
        <f t="shared" si="43"/>
        <v>5377.5567800086019</v>
      </c>
      <c r="AD25" s="40">
        <f t="shared" si="43"/>
        <v>5973.8336379370085</v>
      </c>
      <c r="AE25" s="40">
        <f t="shared" si="43"/>
        <v>6499.1412127527319</v>
      </c>
      <c r="AF25" s="40">
        <f t="shared" si="43"/>
        <v>8879.9781592796407</v>
      </c>
      <c r="AG25" s="130">
        <f t="shared" si="43"/>
        <v>26730.509789977965</v>
      </c>
    </row>
    <row r="26" spans="1:33" ht="18">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3736.0961410081236</v>
      </c>
      <c r="Z27" s="40">
        <f t="shared" ref="Z27" si="58">+Z25-Z26</f>
        <v>4103.9280380631899</v>
      </c>
      <c r="AA27" s="40">
        <f t="shared" ref="AA27" si="59">+AA25-AA26</f>
        <v>6288.7497487498949</v>
      </c>
      <c r="AB27" s="130">
        <f t="shared" ref="AB27" si="60">+AB25-AB26</f>
        <v>19030.773927821207</v>
      </c>
      <c r="AC27" s="40">
        <f t="shared" ref="AC27" si="61">+AC25-AC26</f>
        <v>5377.5567800086019</v>
      </c>
      <c r="AD27" s="40">
        <f t="shared" ref="AD27" si="62">+AD25-AD26</f>
        <v>5973.8336379370085</v>
      </c>
      <c r="AE27" s="40">
        <f t="shared" ref="AE27" si="63">+AE25-AE26</f>
        <v>6499.1412127527319</v>
      </c>
      <c r="AF27" s="40">
        <f t="shared" ref="AF27" si="64">+AF25-AF26</f>
        <v>8879.9781592796407</v>
      </c>
      <c r="AG27" s="130">
        <f t="shared" ref="AG27" si="65">+AG25-AG26</f>
        <v>26730.509789977965</v>
      </c>
    </row>
    <row r="28" spans="1:33">
      <c r="A28" s="138"/>
      <c r="B28" s="189" t="s">
        <v>0</v>
      </c>
      <c r="C28" s="19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2850.5643494794795</v>
      </c>
      <c r="AA28" s="29">
        <f>Z28*(1+AA78)-AA82</f>
        <v>2850.4062394283374</v>
      </c>
      <c r="AB28" s="128">
        <f>(X28*X25/AB25)+(Y28*Y25/AB25)+(Z28*Z25/AB25)+(AA28*AA25/AB25)</f>
        <v>2850.6734874462818</v>
      </c>
      <c r="AC28" s="29">
        <f>AA28*(1+AC78)-AC82</f>
        <v>2849.9909684528761</v>
      </c>
      <c r="AD28" s="29">
        <f>AC28*(1+AD78)-AD82</f>
        <v>2850.0141428623674</v>
      </c>
      <c r="AE28" s="29">
        <f>AD28*(1+AE78)-AE82</f>
        <v>2850.0816382275711</v>
      </c>
      <c r="AF28" s="29">
        <f>AE28*(1+AF78)-AF82</f>
        <v>2850.2029583936542</v>
      </c>
      <c r="AG28" s="128">
        <f>(AC28*AC25/AG25)+(AD28*AD25/AG25)+(AE28*AE25/AG25)+(AF28*AF25/AG25)</f>
        <v>2850.0886164888125</v>
      </c>
    </row>
    <row r="29" spans="1:33" ht="15.75" customHeight="1">
      <c r="A29" s="138"/>
      <c r="B29" s="189" t="s">
        <v>1</v>
      </c>
      <c r="C29" s="19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2859.8937210543477</v>
      </c>
      <c r="Z29" s="29">
        <f>Y29*(1+Z79)-Z82</f>
        <v>2866.0542983011728</v>
      </c>
      <c r="AA29" s="29">
        <f>Z29*(1+AA79)-AA82</f>
        <v>2860.8741007393237</v>
      </c>
      <c r="AB29" s="128">
        <f>(X29*X25/AB25)+(Y29*Y25/AB25)+(Z29*Z25/AB25)+(AA29*AA25/AB25)</f>
        <v>2863.6342366977497</v>
      </c>
      <c r="AC29" s="29">
        <f>AA29*(1+AC79)-AC82</f>
        <v>2856.5895720236963</v>
      </c>
      <c r="AD29" s="29">
        <f>AC29*(1+AD79)-AD82</f>
        <v>2854.0129028758638</v>
      </c>
      <c r="AE29" s="29">
        <f>AD29*(1+AE79)-AE82</f>
        <v>2854.8955311733148</v>
      </c>
      <c r="AF29" s="29">
        <f>AE29*(1+AF79)-AF82</f>
        <v>2852.3478280011464</v>
      </c>
      <c r="AG29" s="128">
        <f>(AC29*AC25/AG25)+(AD29*AD25/AG25)+(AE29*AE25/AG25)+(AF29*AF25/AG25)</f>
        <v>2854.1927229431217</v>
      </c>
    </row>
    <row r="30" spans="1:33" ht="15.75" customHeight="1">
      <c r="A30" s="138"/>
      <c r="B30" s="205" t="s">
        <v>9</v>
      </c>
      <c r="C30" s="206"/>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1.3105362477531242</v>
      </c>
      <c r="Z30" s="43">
        <f t="shared" si="66"/>
        <v>1.4396896666488437</v>
      </c>
      <c r="AA30" s="43">
        <f t="shared" si="66"/>
        <v>2.2062643779544677</v>
      </c>
      <c r="AB30" s="132">
        <f t="shared" si="66"/>
        <v>6.6758869479891016</v>
      </c>
      <c r="AC30" s="43">
        <f t="shared" si="66"/>
        <v>1.8868680074897992</v>
      </c>
      <c r="AD30" s="43">
        <f t="shared" si="66"/>
        <v>2.0960715766614695</v>
      </c>
      <c r="AE30" s="43">
        <f t="shared" si="66"/>
        <v>2.2803351053461274</v>
      </c>
      <c r="AF30" s="43">
        <f t="shared" si="66"/>
        <v>3.1155599404346654</v>
      </c>
      <c r="AG30" s="132">
        <f t="shared" si="66"/>
        <v>9.3788346212577807</v>
      </c>
    </row>
    <row r="31" spans="1:33">
      <c r="A31" s="138"/>
      <c r="B31" s="203" t="s">
        <v>10</v>
      </c>
      <c r="C31" s="204"/>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69">
        <f t="shared" si="67"/>
        <v>1.3063758675727115</v>
      </c>
      <c r="Z31" s="169">
        <f t="shared" si="67"/>
        <v>1.431908683829108</v>
      </c>
      <c r="AA31" s="169">
        <f t="shared" si="67"/>
        <v>2.1981917159950237</v>
      </c>
      <c r="AB31" s="158">
        <f t="shared" si="67"/>
        <v>6.6456720219153684</v>
      </c>
      <c r="AC31" s="169">
        <f t="shared" si="67"/>
        <v>1.8825094205601873</v>
      </c>
      <c r="AD31" s="107">
        <f t="shared" si="67"/>
        <v>2.0931347689134263</v>
      </c>
      <c r="AE31" s="107">
        <f t="shared" si="67"/>
        <v>2.2764900297706139</v>
      </c>
      <c r="AF31" s="107">
        <f t="shared" si="67"/>
        <v>3.1132171441736496</v>
      </c>
      <c r="AG31" s="170">
        <f t="shared" si="67"/>
        <v>9.3653485887997796</v>
      </c>
    </row>
    <row r="32" spans="1:3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6">
      <c r="A33" s="138"/>
      <c r="B33" s="191" t="s">
        <v>25</v>
      </c>
      <c r="C33" s="19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8">
      <c r="A34" s="138"/>
      <c r="B34" s="199"/>
      <c r="C34" s="200"/>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6">
      <c r="A35" s="138"/>
      <c r="B35" s="191" t="s">
        <v>146</v>
      </c>
      <c r="C35" s="19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8273.1715161054071</v>
      </c>
      <c r="Z36" s="64">
        <f>+((Z42+Y42)/2)*Z52</f>
        <v>8433.0020049999985</v>
      </c>
      <c r="AA36" s="64">
        <f>+((AA42+Z42)/2)*AA52</f>
        <v>11075.674886238276</v>
      </c>
      <c r="AB36" s="19"/>
      <c r="AC36" s="64">
        <f>+((AC42+AA42)/2)*AC52</f>
        <v>9876.1317005878918</v>
      </c>
      <c r="AD36" s="64">
        <f>+((AD42+AC42)/2)*AD52</f>
        <v>9724.0658345620559</v>
      </c>
      <c r="AE36" s="64">
        <f>+((AE42+AD42)/2)*AE52</f>
        <v>10232.715684763976</v>
      </c>
      <c r="AF36" s="64">
        <f>+((AF42+AE42)/2)*AF52</f>
        <v>14045.039621470773</v>
      </c>
      <c r="AG36" s="19"/>
    </row>
    <row r="37" spans="1:33" outlineLevel="1">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4173.5722696181729</v>
      </c>
      <c r="Z37" s="64">
        <f t="shared" ref="Z37:AA37" si="68">+((Z44+Y44)/2)*Z54</f>
        <v>4268.4764002116144</v>
      </c>
      <c r="AA37" s="64">
        <f t="shared" si="68"/>
        <v>5476.4221496152259</v>
      </c>
      <c r="AB37" s="19"/>
      <c r="AC37" s="64">
        <f>+((AC44+AA44)/2)*AC54</f>
        <v>4969.1920914783086</v>
      </c>
      <c r="AD37" s="64">
        <f>+((AD44+AC44)/2)*AD54</f>
        <v>4941.6617931710771</v>
      </c>
      <c r="AE37" s="64">
        <f t="shared" ref="AE37:AF37" si="69">+((AE44+AD44)/2)*AE54</f>
        <v>5232.3181831441862</v>
      </c>
      <c r="AF37" s="64">
        <f t="shared" si="69"/>
        <v>6973.4518707666148</v>
      </c>
      <c r="AG37" s="19"/>
    </row>
    <row r="38" spans="1:33" outlineLevel="1">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3170.9701516121058</v>
      </c>
      <c r="Z38" s="64">
        <f t="shared" ref="Z38:AA38" si="70">+((Z46+Y46)/2)*Z56</f>
        <v>3581.0338076402691</v>
      </c>
      <c r="AA38" s="64">
        <f t="shared" si="70"/>
        <v>4119.6473271908908</v>
      </c>
      <c r="AB38" s="19"/>
      <c r="AC38" s="64">
        <f>+((AC46+AA46)/2)*AC56</f>
        <v>4001.3274517597747</v>
      </c>
      <c r="AD38" s="64">
        <f>+((AD46+AC46)/2)*AD56</f>
        <v>3950.6922542102834</v>
      </c>
      <c r="AE38" s="64">
        <f t="shared" ref="AE38:AF38" si="71">+((AE46+AD46)/2)*AE56</f>
        <v>4633.7188883986828</v>
      </c>
      <c r="AF38" s="64">
        <f t="shared" si="71"/>
        <v>5533.7975260637977</v>
      </c>
      <c r="AG38" s="19"/>
    </row>
    <row r="39" spans="1:33" ht="18" outlineLevel="1">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1675.4199323084117</v>
      </c>
      <c r="Z39" s="99">
        <f t="shared" ref="Z39:AA39" si="72">+((Z48+Y48)/2)*Z58</f>
        <v>1890.1456850114498</v>
      </c>
      <c r="AA39" s="99">
        <f t="shared" si="72"/>
        <v>2226.1620136039528</v>
      </c>
      <c r="AB39" s="19"/>
      <c r="AC39" s="99">
        <f>+((AC48+AA48)/2)*AC58</f>
        <v>1976.2318664112875</v>
      </c>
      <c r="AD39" s="99">
        <f>+((AD48+AC48)/2)*AD58</f>
        <v>2035.4156357787772</v>
      </c>
      <c r="AE39" s="99">
        <f t="shared" ref="AE39:AF39" si="73">+((AE48+AD48)/2)*AE58</f>
        <v>2389.6099464533845</v>
      </c>
      <c r="AF39" s="99">
        <f t="shared" si="73"/>
        <v>2925.027095236127</v>
      </c>
      <c r="AG39" s="19"/>
    </row>
    <row r="40" spans="1:33" s="92" customFormat="1" outlineLevel="1">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17293.133869644098</v>
      </c>
      <c r="Z40" s="100">
        <f t="shared" ref="Z40:AA40" si="81">SUM(Z36:Z39)</f>
        <v>18172.65789786333</v>
      </c>
      <c r="AA40" s="100">
        <f t="shared" si="81"/>
        <v>22897.906376648345</v>
      </c>
      <c r="AB40" s="91"/>
      <c r="AC40" s="100">
        <f>SUM(AC36:AC39)</f>
        <v>20822.883110237261</v>
      </c>
      <c r="AD40" s="100">
        <f>SUM(AD36:AD39)</f>
        <v>20651.835517722193</v>
      </c>
      <c r="AE40" s="100">
        <f t="shared" ref="AE40:AF40" si="82">SUM(AE36:AE39)</f>
        <v>22488.362702760227</v>
      </c>
      <c r="AF40" s="100">
        <f t="shared" si="82"/>
        <v>29477.316113537312</v>
      </c>
      <c r="AG40" s="91"/>
    </row>
    <row r="41" spans="1:33" ht="19">
      <c r="A41" s="138"/>
      <c r="B41" s="212" t="s">
        <v>86</v>
      </c>
      <c r="C41" s="213"/>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6" outlineLevel="1">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251.32</v>
      </c>
      <c r="Z42" s="29">
        <f t="shared" ref="Z42" si="84">U42*(1+Z43)</f>
        <v>251.94</v>
      </c>
      <c r="AA42" s="29">
        <f t="shared" ref="AA42" si="85">V42*(1+AA43)</f>
        <v>252.70863041186277</v>
      </c>
      <c r="AB42" s="19"/>
      <c r="AC42" s="29">
        <f>X42*(1+AC43)</f>
        <v>259.96627127759069</v>
      </c>
      <c r="AD42" s="29">
        <f t="shared" ref="AD42" si="86">Y42*(1+AD43)</f>
        <v>257.38441958409857</v>
      </c>
      <c r="AE42" s="29">
        <f t="shared" ref="AE42" si="87">Z42*(1+AE43)</f>
        <v>257.64967543976701</v>
      </c>
      <c r="AF42" s="29">
        <f t="shared" ref="AF42" si="88">AA42*(1+AF43)</f>
        <v>258.60395574277442</v>
      </c>
      <c r="AG42" s="19"/>
    </row>
    <row r="43" spans="1:33" ht="16" outlineLevel="1">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215">
        <v>0.03</v>
      </c>
      <c r="Z43" s="59">
        <v>0.02</v>
      </c>
      <c r="AA43" s="59">
        <f>AVERAGE(V43,X43,Y43,Z43)-1%</f>
        <v>1.8986412951059406E-2</v>
      </c>
      <c r="AB43" s="19"/>
      <c r="AC43" s="59">
        <f>AVERAGE(X43,Y43,Z43,AA43)</f>
        <v>2.753466908138626E-2</v>
      </c>
      <c r="AD43" s="59">
        <f>AVERAGE(Y43,Z43,AA43,AC43)</f>
        <v>2.4130270508111416E-2</v>
      </c>
      <c r="AE43" s="59">
        <f>AVERAGE(Z43,AA43,AC43,AD43)</f>
        <v>2.2662838135139272E-2</v>
      </c>
      <c r="AF43" s="59">
        <f>AVERAGE(AA43,AC43,AD43,AE43)</f>
        <v>2.3328547668924088E-2</v>
      </c>
      <c r="AG43" s="19"/>
    </row>
    <row r="44" spans="1:33" outlineLevel="1">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400.40000000000003</v>
      </c>
      <c r="Z44" s="29">
        <f t="shared" ref="Z44" si="90">U44*(1+Z45)</f>
        <v>398.94014985236225</v>
      </c>
      <c r="AA44" s="29">
        <f t="shared" ref="AA44" si="91">V44*(1+AA45)</f>
        <v>406.04315194389761</v>
      </c>
      <c r="AB44" s="19"/>
      <c r="AC44" s="29">
        <f>X44*(1+AC45)</f>
        <v>422.10918096907812</v>
      </c>
      <c r="AD44" s="29">
        <f t="shared" ref="AD44" si="92">Y44*(1+AD45)</f>
        <v>414.52383587854746</v>
      </c>
      <c r="AE44" s="29">
        <f t="shared" ref="AE44" si="93">Z44*(1+AE45)</f>
        <v>412.54117418387693</v>
      </c>
      <c r="AF44" s="29">
        <f t="shared" ref="AF44" si="94">AA44*(1+AF45)</f>
        <v>420.21521219926035</v>
      </c>
      <c r="AG44" s="19"/>
    </row>
    <row r="45" spans="1:33" outlineLevel="1">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0.04</v>
      </c>
      <c r="Z45" s="59">
        <f>AVERAGE(U45,V45,X45,Y45)-1%</f>
        <v>3.0853100393700816E-2</v>
      </c>
      <c r="AA45" s="59">
        <f>AVERAGE(V45,X45,Y45,Z45)-1%</f>
        <v>3.0566375492126013E-2</v>
      </c>
      <c r="AB45" s="19"/>
      <c r="AC45" s="59">
        <f>AVERAGE(X45,Y45,Z45,AA45)</f>
        <v>3.9677785638123395E-2</v>
      </c>
      <c r="AD45" s="59">
        <f>AVERAGE(Y45,Z45,AA45,AC45)</f>
        <v>3.5274315380987561E-2</v>
      </c>
      <c r="AE45" s="59">
        <f>AVERAGE(Z45,AA45,AC45,AD45)</f>
        <v>3.4092894226234446E-2</v>
      </c>
      <c r="AF45" s="59">
        <f>AVERAGE(AA45,AC45,AD45,AE45)</f>
        <v>3.4902842684367857E-2</v>
      </c>
      <c r="AG45" s="19"/>
    </row>
    <row r="46" spans="1:33" outlineLevel="1">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1102.6223902215875</v>
      </c>
      <c r="Z46" s="29">
        <f t="shared" ref="Z46" si="96">U46*(1+Z47)</f>
        <v>1107.8923058526525</v>
      </c>
      <c r="AA46" s="29">
        <f t="shared" ref="AA46" si="97">V46*(1+AA47)</f>
        <v>1132.8122315223936</v>
      </c>
      <c r="AB46" s="22"/>
      <c r="AC46" s="29">
        <f>X46*(1+AC47)</f>
        <v>1201.7778299178945</v>
      </c>
      <c r="AD46" s="29">
        <f t="shared" ref="AD46" si="98">Y46*(1+AD47)</f>
        <v>1208.3203469357488</v>
      </c>
      <c r="AE46" s="29">
        <f t="shared" ref="AE46" si="99">Z46*(1+AE47)</f>
        <v>1213.1360334811307</v>
      </c>
      <c r="AF46" s="29">
        <f t="shared" ref="AF46" si="100">AA46*(1+AF47)</f>
        <v>1240.7970470802102</v>
      </c>
      <c r="AG46" s="22"/>
    </row>
    <row r="47" spans="1:33" outlineLevel="1">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f>AVERAGE(T47,U47,V47,X47)-1%</f>
        <v>9.9324416970675525E-2</v>
      </c>
      <c r="Z47" s="59">
        <f>AVERAGE(U47,V47,X47,Y47)-1%</f>
        <v>9.3674536873299644E-2</v>
      </c>
      <c r="AA47" s="59">
        <f>AVERAGE(V47,X47,Y47,Z47)-1%</f>
        <v>9.0920870110163268E-2</v>
      </c>
      <c r="AB47" s="19"/>
      <c r="AC47" s="59">
        <f>AVERAGE(X47,Y47,Z47,AA47)</f>
        <v>9.9522259760196158E-2</v>
      </c>
      <c r="AD47" s="59">
        <f>AVERAGE(Y47,Z47,AA47,AC47)</f>
        <v>9.5860520928583659E-2</v>
      </c>
      <c r="AE47" s="59">
        <f>AVERAGE(Z47,AA47,AC47,AD47)</f>
        <v>9.4994546918060682E-2</v>
      </c>
      <c r="AF47" s="59">
        <f>AVERAGE(AA47,AC47,AD47,AE47)</f>
        <v>9.5324549429250949E-2</v>
      </c>
      <c r="AG47" s="19"/>
    </row>
    <row r="48" spans="1:33" outlineLevel="1">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852.38000000000011</v>
      </c>
      <c r="Z48" s="29">
        <f t="shared" ref="Z48" si="102">U48*(1+Z49)</f>
        <v>869.6915060235508</v>
      </c>
      <c r="AA48" s="29">
        <f t="shared" ref="AA48" si="103">V48*(1+AA49)</f>
        <v>885.31428335031694</v>
      </c>
      <c r="AB48" s="19"/>
      <c r="AC48" s="29">
        <f>X48*(1+AC49)</f>
        <v>928.77332190755203</v>
      </c>
      <c r="AD48" s="29">
        <f t="shared" ref="AD48" si="104">Y48*(1+AD49)</f>
        <v>926.72450283284525</v>
      </c>
      <c r="AE48" s="29">
        <f t="shared" ref="AE48" si="105">Z48*(1+AE49)</f>
        <v>944.94146057285798</v>
      </c>
      <c r="AF48" s="29">
        <f t="shared" ref="AF48" si="106">AA48*(1+AF49)</f>
        <v>962.3855470720373</v>
      </c>
      <c r="AG48" s="19"/>
    </row>
    <row r="49" spans="1:33" outlineLevel="1">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0.09</v>
      </c>
      <c r="Z49" s="59">
        <f>AVERAGE(U49,V49,X49,Y49)-1%</f>
        <v>8.4403374094202885E-2</v>
      </c>
      <c r="AA49" s="59">
        <f>AVERAGE(V49,X49,Y49,Z49)-1%</f>
        <v>8.3085739356884042E-2</v>
      </c>
      <c r="AB49" s="19"/>
      <c r="AC49" s="59">
        <f>AVERAGE(X49,Y49,Z49,AA49)</f>
        <v>9.1390507529438419E-2</v>
      </c>
      <c r="AD49" s="59">
        <f>AVERAGE(Y49,Z49,AA49,AC49)</f>
        <v>8.7219905245131346E-2</v>
      </c>
      <c r="AE49" s="59">
        <f>AVERAGE(Z49,AA49,AC49,AD49)</f>
        <v>8.6524881556414163E-2</v>
      </c>
      <c r="AF49" s="59">
        <f>AVERAGE(AA49,AC49,AD49,AE49)</f>
        <v>8.7055258421966986E-2</v>
      </c>
      <c r="AG49" s="19"/>
    </row>
    <row r="50" spans="1:33" s="21" customFormat="1" outlineLevel="1">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2606.7223902215874</v>
      </c>
      <c r="Z50" s="40">
        <f t="shared" si="111"/>
        <v>2628.4639617285657</v>
      </c>
      <c r="AA50" s="40">
        <f t="shared" si="111"/>
        <v>2676.8782972284712</v>
      </c>
      <c r="AB50" s="95"/>
      <c r="AC50" s="40">
        <f>+AC42+AC44+AC46+AC48</f>
        <v>2812.6266040721152</v>
      </c>
      <c r="AD50" s="40">
        <f t="shared" ref="AD50:AF50" si="112">+AD42+AD44+AD46+AD48</f>
        <v>2806.95310523124</v>
      </c>
      <c r="AE50" s="40">
        <f t="shared" si="112"/>
        <v>2828.2683436776324</v>
      </c>
      <c r="AF50" s="40">
        <f t="shared" si="112"/>
        <v>2882.0017620942822</v>
      </c>
      <c r="AG50" s="95"/>
    </row>
    <row r="51" spans="1:33" ht="19">
      <c r="A51" s="138"/>
      <c r="B51" s="191" t="s">
        <v>87</v>
      </c>
      <c r="C51" s="19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6" outlineLevel="1">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32.809214451560152</v>
      </c>
      <c r="Z52" s="45">
        <f t="shared" ref="Z52" si="114">U52*(1+Z53)</f>
        <v>33.513499999999993</v>
      </c>
      <c r="AA52" s="45">
        <f t="shared" ref="AA52" si="115">V52*(1+AA53)</f>
        <v>43.894599999999997</v>
      </c>
      <c r="AB52" s="19"/>
      <c r="AC52" s="45">
        <f>X52*(1+AC53)</f>
        <v>38.527853296669619</v>
      </c>
      <c r="AD52" s="45">
        <f t="shared" ref="AD52" si="116">Y52*(1+AD53)</f>
        <v>37.591776743801546</v>
      </c>
      <c r="AE52" s="45">
        <f t="shared" ref="AE52" si="117">Z52*(1+AE53)</f>
        <v>39.73607100434706</v>
      </c>
      <c r="AF52" s="45">
        <f t="shared" ref="AF52" si="118">AA52*(1+AF53)</f>
        <v>54.411393056156946</v>
      </c>
      <c r="AG52" s="19"/>
    </row>
    <row r="53" spans="1:33" ht="16" outlineLevel="1">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f>AVERAGE(T53,U53,V53,X53)-22.8376632115546%</f>
        <v>-1.3849881227527894E-2</v>
      </c>
      <c r="Z53" s="59">
        <v>-0.03</v>
      </c>
      <c r="AA53" s="59">
        <v>0.06</v>
      </c>
      <c r="AB53" s="19"/>
      <c r="AC53" s="59">
        <f>AVERAGE(X53,Y53,Z53,AA53)+8.94685331393137%</f>
        <v>0.12720460200905853</v>
      </c>
      <c r="AD53" s="59">
        <f>AVERAGE(Y53,Z53,AA53,AC53)+10.9930195170482%</f>
        <v>0.14576887536586466</v>
      </c>
      <c r="AE53" s="59">
        <f>AVERAGE(Z53,AA53,AC53,AD53)+10.9930195170482%</f>
        <v>0.1856735645142128</v>
      </c>
      <c r="AF53" s="59">
        <f>AVERAGE(AA53,AC53,AD53,AE53)+10.9930195170482%</f>
        <v>0.239591955642766</v>
      </c>
      <c r="AG53" s="19"/>
    </row>
    <row r="54" spans="1:33" ht="18" outlineLevel="1">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10.351121700441896</v>
      </c>
      <c r="Z54" s="45">
        <f t="shared" ref="Z54" si="125">U54*(1+Z55)</f>
        <v>10.68</v>
      </c>
      <c r="AA54" s="97">
        <f t="shared" ref="AA54" si="126">V54*(1+AA55)</f>
        <v>13.606300000000001</v>
      </c>
      <c r="AB54" s="19"/>
      <c r="AC54" s="45">
        <f>X54*(1+AC55)</f>
        <v>12.000671601079663</v>
      </c>
      <c r="AD54" s="45">
        <f t="shared" ref="AD54" si="127">Y54*(1+AD55)</f>
        <v>11.813212468690063</v>
      </c>
      <c r="AE54" s="45">
        <f t="shared" ref="AE54" si="128">Z54*(1+AE55)</f>
        <v>12.652737377317575</v>
      </c>
      <c r="AF54" s="45">
        <f t="shared" ref="AF54" si="129">AA54*(1+AF55)</f>
        <v>16.747879655547298</v>
      </c>
      <c r="AG54" s="19"/>
    </row>
    <row r="55" spans="1:33" outlineLevel="1">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f>AVERAGE(T55,U55,V55,X55)-22%</f>
        <v>-3.2605448556832145E-2</v>
      </c>
      <c r="Z55" s="59">
        <v>0</v>
      </c>
      <c r="AA55" s="59">
        <v>0.03</v>
      </c>
      <c r="AB55" s="19"/>
      <c r="AC55" s="59">
        <f>AVERAGE(X55,Y55,Z55,AA55)+10%</f>
        <v>0.1278826692744045</v>
      </c>
      <c r="AD55" s="59">
        <f>AVERAGE(Y55,Z55,AA55,AC55)+10.9930195170482%</f>
        <v>0.1412495003498751</v>
      </c>
      <c r="AE55" s="59">
        <f>AVERAGE(Z55,AA55,AC55,AD55)+10.9930195170482%</f>
        <v>0.18471323757655189</v>
      </c>
      <c r="AF55" s="59">
        <f>AVERAGE(AA55,AC55,AD55,AE55)+10.9930195170482%</f>
        <v>0.23089154697068986</v>
      </c>
      <c r="AG55" s="19"/>
    </row>
    <row r="56" spans="1:33" outlineLevel="1">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2.8884476362914882</v>
      </c>
      <c r="Z56" s="45">
        <f t="shared" ref="Z56" si="138">U56*(1+Z57)</f>
        <v>3.24</v>
      </c>
      <c r="AA56" s="45">
        <f t="shared" ref="AA56" si="139">V56*(1+AA57)</f>
        <v>3.6770999999999998</v>
      </c>
      <c r="AB56" s="19"/>
      <c r="AC56" s="45">
        <f>X56*(1+AC57)</f>
        <v>3.4278630050290024</v>
      </c>
      <c r="AD56" s="45">
        <f t="shared" ref="AD56" si="140">Y56*(1+AD57)</f>
        <v>3.2784492284607833</v>
      </c>
      <c r="AE56" s="45">
        <f t="shared" ref="AE56" si="141">Z56*(1+AE57)</f>
        <v>3.8272164849824297</v>
      </c>
      <c r="AF56" s="45">
        <f t="shared" ref="AF56" si="142">AA56*(1+AF57)</f>
        <v>4.5101454231978755</v>
      </c>
      <c r="AG56" s="19"/>
    </row>
    <row r="57" spans="1:33" outlineLevel="1">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f>AVERAGE(T57,U57,V57,X57)-22%</f>
        <v>-4.9852751219905261E-2</v>
      </c>
      <c r="Z57" s="59">
        <v>0</v>
      </c>
      <c r="AA57" s="59">
        <v>0.03</v>
      </c>
      <c r="AB57" s="19"/>
      <c r="AC57" s="59">
        <f>AVERAGE(X57,Y57,Z57,AA57)+10%</f>
        <v>0.12021666831013161</v>
      </c>
      <c r="AD57" s="59">
        <f>AVERAGE(Y57,Z57,AA57,AC57)+10.9930195170482%</f>
        <v>0.13502117444303857</v>
      </c>
      <c r="AE57" s="59">
        <f>AVERAGE(Z57,AA57,AC57,AD57)+10.9930195170482%</f>
        <v>0.18123965585877455</v>
      </c>
      <c r="AF57" s="59">
        <f>AVERAGE(AA57,AC57,AD57,AE57)+10.9930195170482%</f>
        <v>0.22654956982346819</v>
      </c>
      <c r="AG57" s="19"/>
    </row>
    <row r="58" spans="1:33" outlineLevel="1">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1.9671710743444348</v>
      </c>
      <c r="Z58" s="45">
        <f t="shared" ref="Z58" si="151">U58*(1+Z59)</f>
        <v>2.1952000000000003</v>
      </c>
      <c r="AA58" s="45">
        <f t="shared" ref="AA58" si="152">V58*(1+AA59)</f>
        <v>2.5369283988495326</v>
      </c>
      <c r="AB58" s="19"/>
      <c r="AC58" s="45">
        <f>X58*(1+AC59)</f>
        <v>2.1787612248531625</v>
      </c>
      <c r="AD58" s="45">
        <f t="shared" ref="AD58" si="153">Y58*(1+AD59)</f>
        <v>2.1939294227559141</v>
      </c>
      <c r="AE58" s="45">
        <f t="shared" ref="AE58" si="154">Z58*(1+AE59)</f>
        <v>2.5534577143297779</v>
      </c>
      <c r="AF58" s="45">
        <f t="shared" ref="AF58" si="155">AA58*(1+AF59)</f>
        <v>3.0671479861734401</v>
      </c>
      <c r="AG58" s="19"/>
    </row>
    <row r="59" spans="1:33" ht="18" outlineLevel="1">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f>AVERAGE(T59,U59,V59,X59)-22%</f>
        <v>-7.6445505002612685E-2</v>
      </c>
      <c r="Z59" s="59">
        <v>-0.02</v>
      </c>
      <c r="AA59" s="59">
        <f>AVERAGE(V59,X59,Y59,Z59)-1%</f>
        <v>2.2954999536101826E-2</v>
      </c>
      <c r="AB59" s="19"/>
      <c r="AC59" s="59">
        <f>AVERAGE(X59,Y59,Z59,AA59)+10%</f>
        <v>9.4854886860885543E-2</v>
      </c>
      <c r="AD59" s="59">
        <f>AVERAGE(Y59,Z59,AA59,AC59)+10.9930195170482%</f>
        <v>0.11527129051907567</v>
      </c>
      <c r="AE59" s="59">
        <f>AVERAGE(Z59,AA59,AC59,AD59)+10.9930195170482%</f>
        <v>0.16320048939949777</v>
      </c>
      <c r="AF59" s="59">
        <f>AVERAGE(AA59,AC59,AD59,AE59)+10.9930195170482%</f>
        <v>0.20900061174937221</v>
      </c>
      <c r="AG59" s="19"/>
    </row>
    <row r="60" spans="1:33" outlineLevel="1">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6.6387928470440292</v>
      </c>
      <c r="Z60" s="43">
        <f t="shared" ref="Z60:AA60" si="167">+Z40/((Y50+Z50)/2)</f>
        <v>6.9425065990607404</v>
      </c>
      <c r="AA60" s="43">
        <f t="shared" si="167"/>
        <v>8.6320185424379332</v>
      </c>
      <c r="AB60" s="19"/>
      <c r="AC60" s="43">
        <f>+AC40/((AA50+AC50)/2)</f>
        <v>7.5864339260554638</v>
      </c>
      <c r="AD60" s="43">
        <f>+AD40/((AC50+AD50)/2)</f>
        <v>7.3499573227985575</v>
      </c>
      <c r="AE60" s="43">
        <f t="shared" ref="AE60:AF60" si="168">+AE40/((AD50+AE50)/2)</f>
        <v>7.9813589959679634</v>
      </c>
      <c r="AF60" s="43">
        <f t="shared" si="168"/>
        <v>10.324315861605838</v>
      </c>
      <c r="AG60" s="19"/>
    </row>
    <row r="61" spans="1:33" ht="19">
      <c r="A61" s="138"/>
      <c r="B61" s="191" t="s">
        <v>26</v>
      </c>
      <c r="C61" s="19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5" customHeight="1" outlineLevel="1">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c r="A63" s="138"/>
      <c r="B63" s="191" t="s">
        <v>16</v>
      </c>
      <c r="C63" s="19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c r="A64" s="145"/>
      <c r="B64" s="189" t="s">
        <v>101</v>
      </c>
      <c r="C64" s="190"/>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2.4110734907266229E-2</v>
      </c>
      <c r="Z64" s="55">
        <f t="shared" si="175"/>
        <v>2.9495688752738003E-2</v>
      </c>
      <c r="AA64" s="55">
        <f t="shared" si="175"/>
        <v>8.6135394016143785E-2</v>
      </c>
      <c r="AB64" s="53">
        <f t="shared" si="175"/>
        <v>7.6434617369276925E-2</v>
      </c>
      <c r="AC64" s="55">
        <f t="shared" si="175"/>
        <v>0.17397999155647859</v>
      </c>
      <c r="AD64" s="55">
        <f t="shared" si="175"/>
        <v>0.19422168783264149</v>
      </c>
      <c r="AE64" s="55">
        <f t="shared" si="175"/>
        <v>0.23748341212125723</v>
      </c>
      <c r="AF64" s="55">
        <f t="shared" si="175"/>
        <v>0.2873367385063097</v>
      </c>
      <c r="AG64" s="53">
        <f t="shared" si="175"/>
        <v>0.22785203977045043</v>
      </c>
    </row>
    <row r="65" spans="1:33" s="42" customFormat="1" outlineLevel="1">
      <c r="A65" s="145"/>
      <c r="B65" s="189" t="s">
        <v>102</v>
      </c>
      <c r="C65" s="190"/>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-2.5024870629525964E-2</v>
      </c>
      <c r="Z65" s="55">
        <f t="shared" si="179"/>
        <v>5.0859724723644417E-2</v>
      </c>
      <c r="AA65" s="55">
        <f t="shared" si="179"/>
        <v>0.26001966830292833</v>
      </c>
      <c r="AB65" s="53"/>
      <c r="AC65" s="55">
        <f>+AC13/AA13-1</f>
        <v>-9.0620654669425482E-2</v>
      </c>
      <c r="AD65" s="55">
        <f t="shared" ref="AD65:AF65" si="180">+AD13/AC13-1</f>
        <v>-8.2144048741730202E-3</v>
      </c>
      <c r="AE65" s="55">
        <f t="shared" si="180"/>
        <v>8.8928036612631045E-2</v>
      </c>
      <c r="AF65" s="55">
        <f t="shared" si="180"/>
        <v>0.31078089157283384</v>
      </c>
      <c r="AG65" s="53"/>
    </row>
    <row r="66" spans="1:33" s="42" customFormat="1" outlineLevel="1">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17568.133869644098</v>
      </c>
      <c r="Z66" s="29">
        <f>+Z84+Z13</f>
        <v>18322.65789786333</v>
      </c>
      <c r="AA66" s="29">
        <f>+AA84+AA13</f>
        <v>22997.906376648345</v>
      </c>
      <c r="AB66" s="30">
        <f>SUM(X66:AA66)</f>
        <v>76900.698144155773</v>
      </c>
      <c r="AC66" s="29">
        <f>+AC84+AC13</f>
        <v>20872.883110237261</v>
      </c>
      <c r="AD66" s="29">
        <f>+AD84+AD13</f>
        <v>20701.835517722193</v>
      </c>
      <c r="AE66" s="29">
        <f>+AE84+AE13</f>
        <v>22538.362702760227</v>
      </c>
      <c r="AF66" s="29">
        <f>+AF84+AF13</f>
        <v>29527.316113537312</v>
      </c>
      <c r="AG66" s="30">
        <f>SUM(AC66:AF66)</f>
        <v>93640.397444256989</v>
      </c>
    </row>
    <row r="67" spans="1:33" s="42" customFormat="1" outlineLevel="1">
      <c r="A67" s="145"/>
      <c r="B67" s="189" t="s">
        <v>103</v>
      </c>
      <c r="C67" s="190"/>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4.0396415352605519E-2</v>
      </c>
      <c r="Z67" s="55">
        <f t="shared" ref="Z67" si="183">+Z66/U13-1</f>
        <v>3.7993309418951293E-2</v>
      </c>
      <c r="AA67" s="55">
        <f t="shared" ref="AA67" si="184">+AA66/V13-1</f>
        <v>9.0878776996885735E-2</v>
      </c>
      <c r="AB67" s="147">
        <f>+AB66/W13-1</f>
        <v>8.7750514790666756E-2</v>
      </c>
      <c r="AC67" s="55">
        <f>+AC66/X13-1</f>
        <v>0.17679895755974862</v>
      </c>
      <c r="AD67" s="55">
        <f t="shared" ref="AD67" si="185">+AD66/Y13-1</f>
        <v>0.1971130087682742</v>
      </c>
      <c r="AE67" s="55">
        <f t="shared" ref="AE67" si="186">+AE66/Z13-1</f>
        <v>0.24023479831259031</v>
      </c>
      <c r="AF67" s="55">
        <f t="shared" ref="AF67" si="187">+AF66/AA13-1</f>
        <v>0.28952034425513018</v>
      </c>
      <c r="AG67" s="147">
        <f>+AG66/AB13-1</f>
        <v>0.23048013655375632</v>
      </c>
    </row>
    <row r="68" spans="1:33" s="42" customFormat="1" outlineLevel="1">
      <c r="A68" s="145"/>
      <c r="B68" s="189" t="s">
        <v>104</v>
      </c>
      <c r="C68" s="190"/>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0.78</v>
      </c>
      <c r="Z69" s="60">
        <v>0.76</v>
      </c>
      <c r="AA69" s="60">
        <v>0.78</v>
      </c>
      <c r="AB69" s="54">
        <f>+AB15/AB13</f>
        <v>0.78104712366622164</v>
      </c>
      <c r="AC69" s="60">
        <v>0.8</v>
      </c>
      <c r="AD69" s="60">
        <v>0.81</v>
      </c>
      <c r="AE69" s="60">
        <v>0.81</v>
      </c>
      <c r="AF69" s="60">
        <v>0.82</v>
      </c>
      <c r="AG69" s="54">
        <f>+AG15/AG13</f>
        <v>0.81092619822261169</v>
      </c>
    </row>
    <row r="70" spans="1:33" s="42" customFormat="1" outlineLevel="1">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0.17</v>
      </c>
      <c r="Z71" s="60">
        <v>0.16500000000000001</v>
      </c>
      <c r="AA71" s="60">
        <v>0.15</v>
      </c>
      <c r="AB71" s="167"/>
      <c r="AC71" s="60">
        <v>0.16400000000000001</v>
      </c>
      <c r="AD71" s="60">
        <v>0.16</v>
      </c>
      <c r="AE71" s="60">
        <f t="shared" ref="AE71" si="201">AD71</f>
        <v>0.16</v>
      </c>
      <c r="AF71" s="60">
        <v>0.16</v>
      </c>
      <c r="AG71" s="54"/>
    </row>
    <row r="72" spans="1:33" s="42" customFormat="1" outlineLevel="1">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0.11</v>
      </c>
      <c r="Z72" s="60">
        <v>8.8999999999999996E-2</v>
      </c>
      <c r="AA72" s="60">
        <v>7.9000000000000001E-2</v>
      </c>
      <c r="AB72" s="54"/>
      <c r="AC72" s="60">
        <v>0.09</v>
      </c>
      <c r="AD72" s="60">
        <v>0.08</v>
      </c>
      <c r="AE72" s="60">
        <f t="shared" ref="AE72" si="206">AD72</f>
        <v>0.08</v>
      </c>
      <c r="AF72" s="60">
        <v>7.3999999999999996E-2</v>
      </c>
      <c r="AG72" s="54"/>
    </row>
    <row r="73" spans="1:33" s="42" customFormat="1" outlineLevel="1">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53207.48603705674</v>
      </c>
      <c r="AC73" s="51"/>
      <c r="AD73" s="51"/>
      <c r="AE73" s="51"/>
      <c r="AF73" s="51"/>
      <c r="AG73" s="30">
        <f>AG14+AG17+AG18+AG19</f>
        <v>61076.713722249697</v>
      </c>
    </row>
    <row r="74" spans="1:33" s="42" customFormat="1" outlineLevel="1">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-0.72604056724247756</v>
      </c>
      <c r="Z74" s="55">
        <f>+(Z14+Z17+Z18+Z19)/(X14+X17+X18+X19)-1</f>
        <v>0.11852985541560024</v>
      </c>
      <c r="AA74" s="55">
        <f>+(AA14+AA17+AA18+AA19)/(Y14+Y17+Y18+Y19)-1</f>
        <v>0.19706151847335174</v>
      </c>
      <c r="AB74" s="53">
        <f>+(AB14+AB17+AB18+AB19)/(W14+W17+W18+W19)-1</f>
        <v>0.13907829070361877</v>
      </c>
      <c r="AC74" s="55">
        <f>+(AC14+AC17+AC18+AC19)/(AA14+AA17+AA18+AA19)-1</f>
        <v>-6.3434426109468145E-2</v>
      </c>
      <c r="AD74" s="55">
        <f>+(AD14+AD17+AD18+AD19)/(AB14+AB17+AB18+AB19)-1</f>
        <v>-0.74771044290327127</v>
      </c>
      <c r="AE74" s="55">
        <f>+(AE14+AE17+AE18+AE19)/(AC14+AC17+AC18+AC19)-1</f>
        <v>1.8852019661374397E-2</v>
      </c>
      <c r="AF74" s="55">
        <f>+(AF14+AF17+AF18+AF19)/(AD14+AD17+AD18+AD19)-1</f>
        <v>0.39221139037739694</v>
      </c>
      <c r="AG74" s="53">
        <f>+(AG14+AG17+AG18+AG19)/(AB14+AB17+AB18+AB19)-1</f>
        <v>0.14789700230738911</v>
      </c>
    </row>
    <row r="75" spans="1:33" s="42" customFormat="1" outlineLevel="1">
      <c r="A75" s="145"/>
      <c r="B75" s="189" t="s">
        <v>4</v>
      </c>
      <c r="C75" s="190"/>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0.26000000000000012</v>
      </c>
      <c r="Z75" s="51">
        <f t="shared" si="207"/>
        <v>0.27100000000000007</v>
      </c>
      <c r="AA75" s="51">
        <f t="shared" si="207"/>
        <v>0.33100000000000007</v>
      </c>
      <c r="AB75" s="54">
        <f t="shared" si="207"/>
        <v>0.30082788549104972</v>
      </c>
      <c r="AC75" s="51">
        <f t="shared" si="207"/>
        <v>0.31100000000000005</v>
      </c>
      <c r="AD75" s="51">
        <f t="shared" si="207"/>
        <v>0.35000000000000003</v>
      </c>
      <c r="AE75" s="51">
        <f t="shared" si="207"/>
        <v>0.35000000000000014</v>
      </c>
      <c r="AF75" s="51">
        <f t="shared" si="207"/>
        <v>0.36599999999999988</v>
      </c>
      <c r="AG75" s="54">
        <f t="shared" si="207"/>
        <v>0.34635644332863874</v>
      </c>
    </row>
    <row r="76" spans="1:33" s="42" customFormat="1" outlineLevel="1">
      <c r="A76" s="145"/>
      <c r="B76" s="189" t="s">
        <v>2</v>
      </c>
      <c r="C76" s="190"/>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8">
        <f>-AB24/AB23</f>
        <v>0.1758434403722578</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0.18069492728054123</v>
      </c>
    </row>
    <row r="77" spans="1:33" ht="19">
      <c r="A77" s="138"/>
      <c r="B77" s="191" t="s">
        <v>18</v>
      </c>
      <c r="C77" s="19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c r="A78" s="138"/>
      <c r="B78" s="189" t="s">
        <v>12</v>
      </c>
      <c r="C78" s="19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c r="A79" s="138"/>
      <c r="B79" s="189" t="s">
        <v>13</v>
      </c>
      <c r="C79" s="19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v>-1E-3</v>
      </c>
      <c r="Z79" s="60">
        <v>4.0000000000000001E-3</v>
      </c>
      <c r="AA79" s="60">
        <v>0</v>
      </c>
      <c r="AB79" s="23"/>
      <c r="AC79" s="60">
        <f t="shared" si="212"/>
        <v>2.5520833333333927E-4</v>
      </c>
      <c r="AD79" s="60">
        <f t="shared" si="213"/>
        <v>8.1380208333333478E-4</v>
      </c>
      <c r="AE79" s="60">
        <v>2E-3</v>
      </c>
      <c r="AF79" s="60">
        <f t="shared" si="215"/>
        <v>7.6725260416666847E-4</v>
      </c>
      <c r="AG79" s="23"/>
    </row>
    <row r="80" spans="1:33" outlineLevel="1">
      <c r="A80" s="138"/>
      <c r="B80" s="189" t="s">
        <v>5</v>
      </c>
      <c r="C80" s="19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v>232</v>
      </c>
      <c r="AA80" s="63">
        <v>240</v>
      </c>
      <c r="AB80" s="62"/>
      <c r="AC80" s="63">
        <v>245</v>
      </c>
      <c r="AD80" s="63">
        <v>250</v>
      </c>
      <c r="AE80" s="63">
        <v>255</v>
      </c>
      <c r="AF80" s="63">
        <v>260</v>
      </c>
      <c r="AG80" s="62"/>
    </row>
    <row r="81" spans="1:33" outlineLevel="1">
      <c r="A81" s="138"/>
      <c r="B81" s="189" t="s">
        <v>6</v>
      </c>
      <c r="C81" s="19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c r="A82" s="138"/>
      <c r="B82" s="209" t="s">
        <v>17</v>
      </c>
      <c r="C82" s="210"/>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5.2789976373922416</v>
      </c>
      <c r="AA82" s="66">
        <f>IF((AA81)&gt;0,(AA81/AA80),0)</f>
        <v>5.1801975618489582</v>
      </c>
      <c r="AB82" s="101">
        <f>+SUM(X82:AA82)</f>
        <v>21.997474144893374</v>
      </c>
      <c r="AC82" s="66">
        <f>IF((AC81)&gt;0,(AC81/AC80),0)</f>
        <v>5.0146476267538267</v>
      </c>
      <c r="AD82" s="66">
        <f>IF((AD81)&gt;0,(AD81/AD80),0)</f>
        <v>4.9013676927734373</v>
      </c>
      <c r="AE82" s="66">
        <f>IF((AE81)&gt;0,(AE81/AE80),0)</f>
        <v>4.8253975083007816</v>
      </c>
      <c r="AF82" s="66">
        <f>IF((AF81)&gt;0,(AF81/AF80),0)</f>
        <v>4.7381292030850934</v>
      </c>
      <c r="AG82" s="101">
        <f>+SUM(AC82:AF82)</f>
        <v>19.479542030913141</v>
      </c>
    </row>
    <row r="83" spans="1:33" ht="19">
      <c r="A83" s="138"/>
      <c r="B83" s="191" t="s">
        <v>24</v>
      </c>
      <c r="C83" s="19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c r="A84" s="138"/>
      <c r="B84" s="189" t="s">
        <v>95</v>
      </c>
      <c r="C84" s="190"/>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9">
      <c r="A85" s="138"/>
      <c r="B85" s="191" t="s">
        <v>96</v>
      </c>
      <c r="C85" s="19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85:C85"/>
    <mergeCell ref="A11:A12"/>
    <mergeCell ref="B35:C35"/>
    <mergeCell ref="B41:C41"/>
    <mergeCell ref="B79:C79"/>
    <mergeCell ref="B78:C78"/>
    <mergeCell ref="B76:C76"/>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51:C51"/>
    <mergeCell ref="B61:C61"/>
    <mergeCell ref="B34:C34"/>
    <mergeCell ref="B3:C3"/>
    <mergeCell ref="B4:C4"/>
    <mergeCell ref="B5:C5"/>
    <mergeCell ref="B11:C11"/>
    <mergeCell ref="B12:C12"/>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baseColWidth="10" defaultColWidth="9.1640625" defaultRowHeight="15"/>
  <cols>
    <col min="1" max="1" width="1.1640625" customWidth="1"/>
    <col min="2" max="2" width="22.6640625" customWidth="1"/>
    <col min="3" max="10" width="12.33203125" customWidth="1"/>
    <col min="11" max="11" width="1.1640625" customWidth="1"/>
    <col min="12" max="12" width="22.6640625" customWidth="1"/>
    <col min="13" max="20" width="12.33203125" customWidth="1"/>
  </cols>
  <sheetData>
    <row r="1" spans="2:14">
      <c r="B1" s="86" t="s">
        <v>153</v>
      </c>
    </row>
    <row r="2" spans="2:14">
      <c r="B2" s="86"/>
    </row>
    <row r="3" spans="2:14">
      <c r="B3" s="86"/>
    </row>
    <row r="4" spans="2:14">
      <c r="B4" s="6"/>
      <c r="I4" s="6"/>
      <c r="L4" s="6"/>
    </row>
    <row r="5" spans="2:14" ht="12.5" customHeight="1">
      <c r="B5" s="6"/>
    </row>
    <row r="6" spans="2:14" ht="21" customHeight="1">
      <c r="C6" s="8"/>
      <c r="D6" s="9"/>
      <c r="E6" s="9"/>
      <c r="F6" s="9"/>
      <c r="H6" s="6"/>
    </row>
    <row r="7" spans="2:14" s="5" customFormat="1" ht="21" customHeight="1">
      <c r="C7" s="9"/>
      <c r="D7" s="9"/>
      <c r="E7" s="9"/>
      <c r="F7" s="9"/>
      <c r="H7" s="214"/>
      <c r="I7" s="214"/>
      <c r="J7" s="214"/>
      <c r="K7" s="214"/>
      <c r="L7" s="214"/>
      <c r="M7" s="214"/>
      <c r="N7" s="214"/>
    </row>
    <row r="8" spans="2:14" ht="21" customHeight="1">
      <c r="D8" s="1"/>
      <c r="E8" s="1"/>
      <c r="F8" s="1"/>
      <c r="G8" s="7"/>
    </row>
    <row r="9" spans="2:14" ht="21" customHeight="1">
      <c r="D9" s="1"/>
      <c r="E9" s="1"/>
      <c r="F9" s="1"/>
      <c r="G9" s="7"/>
    </row>
    <row r="10" spans="2:14" ht="21" customHeight="1">
      <c r="D10" s="1"/>
      <c r="E10" s="1"/>
      <c r="F10" s="1"/>
      <c r="G10" s="7"/>
    </row>
    <row r="11" spans="2:14" ht="21" customHeight="1">
      <c r="D11" s="1"/>
      <c r="E11" s="1"/>
      <c r="F11" s="1"/>
      <c r="G11" s="7"/>
    </row>
    <row r="12" spans="2:14" ht="21" customHeight="1">
      <c r="D12" s="1"/>
      <c r="E12" s="1"/>
      <c r="F12" s="10"/>
      <c r="G12" s="7"/>
    </row>
    <row r="13" spans="2:14" ht="21" customHeight="1">
      <c r="D13" s="1"/>
      <c r="E13" s="2"/>
      <c r="F13" s="2"/>
      <c r="G13" s="7"/>
    </row>
    <row r="14" spans="2:14" ht="21" customHeight="1">
      <c r="B14" s="86"/>
      <c r="D14" s="1"/>
      <c r="E14" s="2"/>
      <c r="F14" s="2"/>
      <c r="G14" s="7"/>
    </row>
    <row r="15" spans="2:14" ht="21" customHeight="1">
      <c r="D15" s="1"/>
      <c r="E15" s="2"/>
      <c r="F15" s="2"/>
      <c r="G15" s="7"/>
    </row>
    <row r="16" spans="2:14" ht="21" customHeight="1">
      <c r="D16" s="1"/>
      <c r="E16" s="2"/>
      <c r="F16" s="2"/>
      <c r="G16" s="7"/>
    </row>
    <row r="27" spans="2:2">
      <c r="B27" s="86"/>
    </row>
    <row r="41" spans="2:2">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Bryce Streeper</cp:lastModifiedBy>
  <cp:lastPrinted>2015-01-03T01:11:29Z</cp:lastPrinted>
  <dcterms:created xsi:type="dcterms:W3CDTF">2014-10-18T18:34:10Z</dcterms:created>
  <dcterms:modified xsi:type="dcterms:W3CDTF">2020-07-21T14:33:33Z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