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B5130AA0-E5BD-4E37-9218-3D8554A44ACF}"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81" i="3" l="1"/>
  <c r="AA78" i="3"/>
  <c r="AA80" i="3"/>
  <c r="Y81" i="3"/>
  <c r="AE59" i="3"/>
  <c r="AE53" i="3"/>
  <c r="Y59" i="3"/>
  <c r="Y57" i="3"/>
  <c r="Y55" i="3"/>
  <c r="Y53" i="3"/>
  <c r="AF47" i="3"/>
  <c r="AC47" i="3"/>
  <c r="AD47" i="3"/>
  <c r="AE47" i="3"/>
  <c r="Y52" i="3"/>
  <c r="Y36" i="3"/>
  <c r="Y54" i="3"/>
  <c r="Y37" i="3"/>
  <c r="Y56" i="3"/>
  <c r="Y38" i="3"/>
  <c r="Y58" i="3"/>
  <c r="Y39" i="3"/>
  <c r="Y40" i="3"/>
  <c r="Y13" i="3"/>
  <c r="Z53" i="3"/>
  <c r="Z52" i="3"/>
  <c r="Z36" i="3"/>
  <c r="Z55" i="3"/>
  <c r="Z54" i="3"/>
  <c r="Z37" i="3"/>
  <c r="Z57" i="3"/>
  <c r="Z56" i="3"/>
  <c r="Z38" i="3"/>
  <c r="Z59" i="3"/>
  <c r="Z58" i="3"/>
  <c r="Z39" i="3"/>
  <c r="Z40" i="3"/>
  <c r="Z13" i="3"/>
  <c r="AA53" i="3"/>
  <c r="AA52" i="3"/>
  <c r="AA36" i="3"/>
  <c r="AA55" i="3"/>
  <c r="AA54" i="3"/>
  <c r="AA37" i="3"/>
  <c r="AA57" i="3"/>
  <c r="AA56" i="3"/>
  <c r="AA38" i="3"/>
  <c r="AA59" i="3"/>
  <c r="AA58" i="3"/>
  <c r="AA39" i="3"/>
  <c r="AA40" i="3"/>
  <c r="AA13" i="3"/>
  <c r="AB13" i="3"/>
  <c r="Y14" i="3"/>
  <c r="Z14" i="3"/>
  <c r="AA14" i="3"/>
  <c r="AB14" i="3"/>
  <c r="AB15" i="3"/>
  <c r="Y17" i="3"/>
  <c r="Z17" i="3"/>
  <c r="AA17" i="3"/>
  <c r="AB17" i="3"/>
  <c r="Y18" i="3"/>
  <c r="Z18" i="3"/>
  <c r="AA18" i="3"/>
  <c r="AB18" i="3"/>
  <c r="Y19" i="3"/>
  <c r="Z19" i="3"/>
  <c r="AA19" i="3"/>
  <c r="AB19" i="3"/>
  <c r="AB20" i="3"/>
  <c r="AB21" i="3"/>
  <c r="AB23" i="3"/>
  <c r="Y15" i="3"/>
  <c r="Y20" i="3"/>
  <c r="Y21" i="3"/>
  <c r="Y23" i="3"/>
  <c r="Y24" i="3"/>
  <c r="Z15" i="3"/>
  <c r="Z20" i="3"/>
  <c r="Z21" i="3"/>
  <c r="Z23" i="3"/>
  <c r="Z24" i="3"/>
  <c r="AA15" i="3"/>
  <c r="AA20" i="3"/>
  <c r="AA21" i="3"/>
  <c r="AA23" i="3"/>
  <c r="AA24" i="3"/>
  <c r="AB24" i="3"/>
  <c r="AB25" i="3"/>
  <c r="AC45" i="3"/>
  <c r="AF49" i="3"/>
  <c r="AE49" i="3"/>
  <c r="AD49" i="3"/>
  <c r="AC49" i="3"/>
  <c r="AD45" i="3"/>
  <c r="AE45" i="3"/>
  <c r="AF45" i="3"/>
  <c r="AA45" i="3"/>
  <c r="Z45" i="3"/>
  <c r="Y45" i="3"/>
  <c r="AF43" i="3"/>
  <c r="AE43" i="3"/>
  <c r="AC43" i="3"/>
  <c r="AA43" i="3"/>
  <c r="Z43" i="3"/>
  <c r="Y43" i="3"/>
  <c r="AD43" i="3"/>
  <c r="Z42" i="3"/>
  <c r="Y42" i="3"/>
  <c r="Z44" i="3"/>
  <c r="Y44" i="3"/>
  <c r="Z25" i="3"/>
  <c r="Y82" i="3"/>
  <c r="Y29" i="3"/>
  <c r="Z82" i="3"/>
  <c r="Z29" i="3"/>
  <c r="Z31" i="3"/>
  <c r="AA42" i="3"/>
  <c r="AA44" i="3"/>
  <c r="AA25" i="3"/>
  <c r="AA81" i="3"/>
  <c r="AA82" i="3"/>
  <c r="AA29" i="3"/>
  <c r="AA31" i="3"/>
  <c r="Y25" i="3"/>
  <c r="AB29" i="3"/>
  <c r="AB31" i="3"/>
  <c r="AC42" i="3"/>
  <c r="AC53" i="3"/>
  <c r="AC52" i="3"/>
  <c r="AC36" i="3"/>
  <c r="AC44" i="3"/>
  <c r="AC55" i="3"/>
  <c r="AC54" i="3"/>
  <c r="AC37" i="3"/>
  <c r="AC48" i="3"/>
  <c r="AC59" i="3"/>
  <c r="AC58" i="3"/>
  <c r="AC39" i="3"/>
  <c r="AC46" i="3"/>
  <c r="AC57" i="3"/>
  <c r="AC56" i="3"/>
  <c r="AC38" i="3"/>
  <c r="AC40" i="3"/>
  <c r="AC13" i="3"/>
  <c r="AC14" i="3"/>
  <c r="AC15" i="3"/>
  <c r="AC17" i="3"/>
  <c r="AC18" i="3"/>
  <c r="AC19" i="3"/>
  <c r="AC20" i="3"/>
  <c r="AC21" i="3"/>
  <c r="AC23" i="3"/>
  <c r="AC24" i="3"/>
  <c r="AC25" i="3"/>
  <c r="AC79" i="3"/>
  <c r="AC80" i="3"/>
  <c r="AC81" i="3"/>
  <c r="AC82" i="3"/>
  <c r="AC29" i="3"/>
  <c r="AC31" i="3"/>
  <c r="AD42" i="3"/>
  <c r="AD53" i="3"/>
  <c r="AD52" i="3"/>
  <c r="AD36" i="3"/>
  <c r="AD44" i="3"/>
  <c r="AD55" i="3"/>
  <c r="AD54" i="3"/>
  <c r="AD37" i="3"/>
  <c r="AD48" i="3"/>
  <c r="AD59" i="3"/>
  <c r="AD58" i="3"/>
  <c r="AD39" i="3"/>
  <c r="AD46" i="3"/>
  <c r="AD57" i="3"/>
  <c r="AD56" i="3"/>
  <c r="AD38" i="3"/>
  <c r="AD40" i="3"/>
  <c r="AD13" i="3"/>
  <c r="AD14" i="3"/>
  <c r="AD15" i="3"/>
  <c r="AD17" i="3"/>
  <c r="AD18" i="3"/>
  <c r="AD19" i="3"/>
  <c r="AD20" i="3"/>
  <c r="AD21" i="3"/>
  <c r="AD23" i="3"/>
  <c r="AD24" i="3"/>
  <c r="AD25" i="3"/>
  <c r="AD79" i="3"/>
  <c r="AD80" i="3"/>
  <c r="AD81" i="3"/>
  <c r="AD82" i="3"/>
  <c r="AD29" i="3"/>
  <c r="AD31" i="3"/>
  <c r="AE42" i="3"/>
  <c r="AE52" i="3"/>
  <c r="AE36" i="3"/>
  <c r="AE44" i="3"/>
  <c r="AE55" i="3"/>
  <c r="AE54" i="3"/>
  <c r="AE37" i="3"/>
  <c r="AE48" i="3"/>
  <c r="AE58" i="3"/>
  <c r="AE39" i="3"/>
  <c r="AE46" i="3"/>
  <c r="AE57" i="3"/>
  <c r="AE56" i="3"/>
  <c r="AE38" i="3"/>
  <c r="AE40" i="3"/>
  <c r="AE13" i="3"/>
  <c r="AE14" i="3"/>
  <c r="AE15" i="3"/>
  <c r="AE17" i="3"/>
  <c r="AE18" i="3"/>
  <c r="AE19" i="3"/>
  <c r="AE20" i="3"/>
  <c r="AE21" i="3"/>
  <c r="AE23" i="3"/>
  <c r="AE24" i="3"/>
  <c r="AE25" i="3"/>
  <c r="AE79" i="3"/>
  <c r="AE80" i="3"/>
  <c r="AE81" i="3"/>
  <c r="AE82" i="3"/>
  <c r="AE29" i="3"/>
  <c r="AE31" i="3"/>
  <c r="AF42" i="3"/>
  <c r="AF53" i="3"/>
  <c r="AF52" i="3"/>
  <c r="AF36" i="3"/>
  <c r="AF44" i="3"/>
  <c r="AF55" i="3"/>
  <c r="AF54" i="3"/>
  <c r="AF37" i="3"/>
  <c r="AF48" i="3"/>
  <c r="AF59" i="3"/>
  <c r="AF58" i="3"/>
  <c r="AF39" i="3"/>
  <c r="AF46" i="3"/>
  <c r="AF57" i="3"/>
  <c r="AF56" i="3"/>
  <c r="AF38" i="3"/>
  <c r="AF40" i="3"/>
  <c r="AF13" i="3"/>
  <c r="AF14" i="3"/>
  <c r="AF15" i="3"/>
  <c r="AF17" i="3"/>
  <c r="AF18" i="3"/>
  <c r="AF19" i="3"/>
  <c r="AF20" i="3"/>
  <c r="AF21" i="3"/>
  <c r="AF23" i="3"/>
  <c r="AF24" i="3"/>
  <c r="AF25" i="3"/>
  <c r="AF79" i="3"/>
  <c r="AF80" i="3"/>
  <c r="AF81" i="3"/>
  <c r="AF82" i="3"/>
  <c r="AF29" i="3"/>
  <c r="AF31" i="3"/>
  <c r="AG13" i="3"/>
  <c r="AG14" i="3"/>
  <c r="AG15" i="3"/>
  <c r="AG17" i="3"/>
  <c r="AG18" i="3"/>
  <c r="AG19" i="3"/>
  <c r="AG20" i="3"/>
  <c r="AG21" i="3"/>
  <c r="AG23" i="3"/>
  <c r="AG24" i="3"/>
  <c r="AG25" i="3"/>
  <c r="AG29" i="3"/>
  <c r="AG31" i="3"/>
  <c r="Y31" i="3"/>
  <c r="AF22" i="3"/>
  <c r="AE22" i="3"/>
  <c r="AD22" i="3"/>
  <c r="AA22" i="3"/>
  <c r="AC22" i="3"/>
  <c r="Z22" i="3"/>
  <c r="Y22" i="3"/>
  <c r="AB22" i="3"/>
  <c r="AG22" i="3"/>
  <c r="I43" i="3"/>
  <c r="J43" i="3"/>
  <c r="K43" i="3"/>
  <c r="L43"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T43" i="3"/>
  <c r="U43" i="3"/>
  <c r="V43" i="3"/>
  <c r="X43" i="3"/>
  <c r="T53" i="3"/>
  <c r="U53" i="3"/>
  <c r="V53" i="3"/>
  <c r="X53" i="3"/>
  <c r="T45" i="3"/>
  <c r="U45" i="3"/>
  <c r="V45" i="3"/>
  <c r="X45" i="3"/>
  <c r="T55" i="3"/>
  <c r="U55" i="3"/>
  <c r="V55" i="3"/>
  <c r="X55" i="3"/>
  <c r="T47" i="3"/>
  <c r="U47" i="3"/>
  <c r="V47" i="3"/>
  <c r="X47" i="3"/>
  <c r="Y47" i="3"/>
  <c r="Y46" i="3"/>
  <c r="T57" i="3"/>
  <c r="U57" i="3"/>
  <c r="V57" i="3"/>
  <c r="X57" i="3"/>
  <c r="T49" i="3"/>
  <c r="U49" i="3"/>
  <c r="V49" i="3"/>
  <c r="X49" i="3"/>
  <c r="Y49" i="3"/>
  <c r="Y48" i="3"/>
  <c r="T59" i="3"/>
  <c r="U59" i="3"/>
  <c r="V59" i="3"/>
  <c r="X59" i="3"/>
  <c r="Z47" i="3"/>
  <c r="Z46" i="3"/>
  <c r="Z49" i="3"/>
  <c r="Z48" i="3"/>
  <c r="AA47" i="3"/>
  <c r="AA46" i="3"/>
  <c r="AA49" i="3"/>
  <c r="AA48" i="3"/>
  <c r="X76" i="3"/>
  <c r="AC76" i="3"/>
  <c r="AD76" i="3"/>
  <c r="AE76" i="3"/>
  <c r="AF76"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W29" i="3"/>
  <c r="T80" i="3"/>
  <c r="T82" i="3"/>
  <c r="T79" i="3"/>
  <c r="U80" i="3"/>
  <c r="U82" i="3"/>
  <c r="U79" i="3"/>
  <c r="V80" i="3"/>
  <c r="V82" i="3"/>
  <c r="V79" i="3"/>
  <c r="X80" i="3"/>
  <c r="X82" i="3"/>
  <c r="X79" i="3"/>
  <c r="U31" i="3"/>
  <c r="V31" i="3"/>
  <c r="X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Y28" i="3"/>
  <c r="Z78" i="3"/>
  <c r="Z28" i="3"/>
  <c r="Z30" i="3"/>
  <c r="W28" i="3"/>
  <c r="W30" i="3"/>
  <c r="W31" i="3"/>
  <c r="X30" i="3"/>
  <c r="AA28" i="3"/>
  <c r="AA30" i="3"/>
  <c r="Y30" i="3"/>
  <c r="AC78" i="3"/>
  <c r="AC28" i="3"/>
  <c r="AC30" i="3"/>
  <c r="AB28" i="3"/>
  <c r="AB30" i="3"/>
  <c r="AD78" i="3"/>
  <c r="AD28" i="3"/>
  <c r="AE78" i="3"/>
  <c r="AE28" i="3"/>
  <c r="AE30" i="3"/>
  <c r="AF78" i="3"/>
  <c r="AD30" i="3"/>
  <c r="AF28" i="3"/>
  <c r="AG28" i="3"/>
  <c r="AG30" i="3"/>
  <c r="AF30" i="3"/>
</calcChain>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<sst xmlns="http://schemas.openxmlformats.org/spreadsheetml/2006/main" count="439" uniqueCount="157">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</sst>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7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3" applyNumberFormat="0" applyFill="0" applyAlignment="0" applyProtection="0"/>
    <xf numFmtId="0" fontId="10" fillId="0" borderId="14"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2"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5">
      <protection hidden="1"/>
    </xf>
    <xf numFmtId="199" fontId="3" fillId="0" borderId="0" applyFont="0" applyFill="0" applyBorder="0" applyAlignment="0" applyProtection="0"/>
    <xf numFmtId="38" fontId="30" fillId="5" borderId="0" applyNumberFormat="0" applyBorder="0" applyAlignment="0" applyProtection="0"/>
    <xf numFmtId="0" fontId="31" fillId="0" borderId="16"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5">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2"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17" applyNumberFormat="0" applyBorder="0"/>
    <xf numFmtId="204" fontId="14" fillId="0" borderId="0"/>
    <xf numFmtId="0" fontId="44" fillId="8" borderId="18"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19"/>
    <xf numFmtId="0" fontId="46" fillId="0" borderId="0"/>
    <xf numFmtId="0" fontId="20" fillId="0" borderId="0"/>
    <xf numFmtId="0" fontId="37" fillId="0" borderId="0"/>
    <xf numFmtId="37" fontId="47" fillId="0" borderId="15">
      <alignment horizontal="right"/>
      <protection locked="0"/>
    </xf>
    <xf numFmtId="37" fontId="48" fillId="0" borderId="15">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xf numFmtId="0" fontId="3" fillId="0" borderId="0"/>
    <xf numFmtId="0" fontId="3" fillId="0" borderId="0"/>
    <xf numFmtId="0" fontId="75" fillId="0" borderId="0"/>
  </cellStyleXfs>
  <cellXfs count="234">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4"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2" fillId="3" borderId="0" xfId="1" quotePrefix="1" applyNumberFormat="1" applyFont="1" applyFill="1" applyAlignment="1">
      <alignment horizontal="right"/>
    </xf>
    <xf numFmtId="164" fontId="55" fillId="2" borderId="2" xfId="1" quotePrefix="1" applyNumberFormat="1" applyFont="1" applyFill="1" applyBorder="1" applyAlignment="1">
      <alignment horizontal="right"/>
    </xf>
    <xf numFmtId="164" fontId="56"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9" fillId="0" borderId="0" xfId="1" applyNumberFormat="1" applyFont="1" applyAlignment="1">
      <alignment horizontal="right"/>
    </xf>
    <xf numFmtId="165" fontId="59" fillId="0" borderId="5" xfId="1" applyNumberFormat="1" applyFont="1" applyBorder="1" applyAlignment="1">
      <alignment horizontal="right"/>
    </xf>
    <xf numFmtId="0" fontId="60" fillId="0" borderId="3" xfId="0" applyFont="1" applyBorder="1" applyAlignment="1">
      <alignment horizontal="left"/>
    </xf>
    <xf numFmtId="0" fontId="4" fillId="0" borderId="4" xfId="0" applyFont="1" applyBorder="1"/>
    <xf numFmtId="0" fontId="53" fillId="0" borderId="4" xfId="0" applyFont="1" applyBorder="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4" xfId="0" applyFont="1" applyBorder="1"/>
    <xf numFmtId="165" fontId="52" fillId="0" borderId="0" xfId="1" applyNumberFormat="1" applyFont="1" applyAlignment="1">
      <alignment horizontal="right"/>
    </xf>
    <xf numFmtId="165" fontId="52" fillId="0" borderId="5" xfId="1" applyNumberFormat="1" applyFont="1" applyBorder="1" applyAlignment="1">
      <alignment horizontal="right"/>
    </xf>
    <xf numFmtId="0" fontId="61" fillId="0" borderId="0" xfId="0" applyFont="1"/>
    <xf numFmtId="165" fontId="61" fillId="0" borderId="0" xfId="1" applyNumberFormat="1" applyFont="1" applyAlignment="1">
      <alignment horizontal="right"/>
    </xf>
    <xf numFmtId="165" fontId="61" fillId="0" borderId="5" xfId="1" applyNumberFormat="1" applyFont="1" applyBorder="1" applyAlignment="1">
      <alignment horizontal="right"/>
    </xf>
    <xf numFmtId="0" fontId="59" fillId="0" borderId="0" xfId="0" applyFont="1"/>
    <xf numFmtId="43" fontId="61" fillId="0" borderId="0" xfId="1" applyFont="1" applyAlignment="1">
      <alignment horizontal="right"/>
    </xf>
    <xf numFmtId="43" fontId="61" fillId="0" borderId="5" xfId="1" applyFont="1" applyBorder="1" applyAlignment="1">
      <alignment horizontal="right"/>
    </xf>
    <xf numFmtId="43" fontId="59" fillId="0" borderId="0" xfId="1" applyFont="1" applyAlignment="1">
      <alignment horizontal="right"/>
    </xf>
    <xf numFmtId="0" fontId="59" fillId="0" borderId="0" xfId="0" applyFont="1" applyAlignment="1">
      <alignment horizontal="left"/>
    </xf>
    <xf numFmtId="0" fontId="59" fillId="0" borderId="3" xfId="0" applyFont="1" applyBorder="1" applyAlignment="1">
      <alignment horizontal="left" indent="1"/>
    </xf>
    <xf numFmtId="0" fontId="64" fillId="0" borderId="4" xfId="0" applyFont="1" applyBorder="1" applyAlignment="1">
      <alignment horizontal="left"/>
    </xf>
    <xf numFmtId="165" fontId="65" fillId="0" borderId="5" xfId="1" quotePrefix="1" applyNumberFormat="1" applyFont="1" applyBorder="1" applyAlignment="1">
      <alignment horizontal="right"/>
    </xf>
    <xf numFmtId="165" fontId="65" fillId="0" borderId="0" xfId="2" applyNumberFormat="1" applyFont="1" applyAlignment="1">
      <alignment horizontal="right"/>
    </xf>
    <xf numFmtId="166" fontId="59" fillId="0" borderId="0" xfId="2" applyNumberFormat="1" applyFont="1" applyAlignment="1">
      <alignment horizontal="right"/>
    </xf>
    <xf numFmtId="0" fontId="66" fillId="0" borderId="0" xfId="0" applyFont="1"/>
    <xf numFmtId="9" fontId="59" fillId="0" borderId="5" xfId="2" applyFont="1" applyBorder="1" applyAlignment="1">
      <alignment horizontal="right"/>
    </xf>
    <xf numFmtId="166" fontId="59" fillId="0" borderId="5" xfId="2" applyNumberFormat="1" applyFont="1" applyBorder="1" applyAlignment="1">
      <alignment horizontal="right"/>
    </xf>
    <xf numFmtId="9" fontId="59" fillId="0" borderId="0" xfId="2" applyFont="1" applyAlignment="1">
      <alignment horizontal="right"/>
    </xf>
    <xf numFmtId="0" fontId="59" fillId="0" borderId="3" xfId="0" applyFont="1" applyBorder="1"/>
    <xf numFmtId="165" fontId="62" fillId="10" borderId="0" xfId="1" applyNumberFormat="1" applyFont="1" applyFill="1" applyAlignment="1">
      <alignment horizontal="right"/>
    </xf>
    <xf numFmtId="165" fontId="59" fillId="10" borderId="0" xfId="1" applyNumberFormat="1" applyFont="1" applyFill="1" applyAlignment="1">
      <alignment horizontal="right"/>
    </xf>
    <xf numFmtId="9" fontId="59" fillId="10" borderId="0" xfId="2" applyFont="1" applyFill="1" applyAlignment="1">
      <alignment horizontal="right"/>
    </xf>
    <xf numFmtId="166" fontId="59" fillId="10" borderId="0" xfId="2" applyNumberFormat="1" applyFont="1" applyFill="1" applyAlignment="1">
      <alignment horizontal="right"/>
    </xf>
    <xf numFmtId="7" fontId="59" fillId="0" borderId="0" xfId="1" applyNumberFormat="1" applyFont="1" applyAlignment="1">
      <alignment horizontal="right"/>
    </xf>
    <xf numFmtId="7" fontId="4" fillId="0" borderId="5" xfId="1" applyNumberFormat="1" applyFont="1" applyBorder="1" applyAlignment="1">
      <alignment horizontal="right"/>
    </xf>
    <xf numFmtId="7" fontId="59" fillId="10" borderId="0" xfId="1" applyNumberFormat="1" applyFont="1" applyFill="1" applyAlignment="1">
      <alignment horizontal="right"/>
    </xf>
    <xf numFmtId="41" fontId="59" fillId="0" borderId="0" xfId="1" quotePrefix="1" applyNumberFormat="1" applyFont="1" applyAlignment="1">
      <alignment horizontal="right"/>
    </xf>
    <xf numFmtId="7" fontId="59" fillId="0" borderId="5" xfId="1" applyNumberFormat="1" applyFont="1" applyBorder="1" applyAlignment="1">
      <alignment horizontal="right"/>
    </xf>
    <xf numFmtId="164" fontId="59" fillId="0" borderId="7" xfId="1" applyNumberFormat="1" applyFont="1" applyBorder="1" applyAlignment="1">
      <alignment horizontal="right"/>
    </xf>
    <xf numFmtId="165" fontId="59" fillId="0" borderId="7" xfId="1" applyNumberFormat="1" applyFont="1" applyBorder="1" applyAlignment="1">
      <alignment horizontal="right"/>
    </xf>
    <xf numFmtId="165" fontId="59" fillId="0" borderId="8" xfId="1" applyNumberFormat="1" applyFont="1" applyBorder="1" applyAlignment="1">
      <alignment horizontal="right"/>
    </xf>
    <xf numFmtId="0" fontId="4" fillId="0" borderId="4" xfId="0" applyFont="1" applyBorder="1" applyAlignment="1">
      <alignment horizontal="left"/>
    </xf>
    <xf numFmtId="0" fontId="59" fillId="0" borderId="3" xfId="0" applyFont="1" applyBorder="1" applyAlignment="1">
      <alignment horizontal="left"/>
    </xf>
    <xf numFmtId="0" fontId="59" fillId="0" borderId="4" xfId="0" applyFont="1" applyBorder="1" applyAlignment="1">
      <alignment horizontal="left"/>
    </xf>
    <xf numFmtId="0" fontId="61" fillId="0" borderId="4" xfId="0" applyFont="1" applyBorder="1" applyAlignment="1">
      <alignment horizontal="left" indent="1"/>
    </xf>
    <xf numFmtId="0" fontId="61" fillId="0" borderId="3" xfId="0" applyFont="1" applyBorder="1" applyAlignment="1">
      <alignment horizontal="left"/>
    </xf>
    <xf numFmtId="0" fontId="61" fillId="0" borderId="4" xfId="0" applyFont="1" applyBorder="1" applyAlignment="1">
      <alignment horizontal="left"/>
    </xf>
    <xf numFmtId="0" fontId="59" fillId="0" borderId="3" xfId="0" applyFont="1" applyBorder="1" applyAlignment="1">
      <alignment horizontal="left" indent="2"/>
    </xf>
    <xf numFmtId="0" fontId="59" fillId="0" borderId="6" xfId="0" applyFont="1" applyBorder="1" applyAlignment="1">
      <alignment horizontal="left"/>
    </xf>
    <xf numFmtId="165" fontId="59" fillId="10" borderId="7" xfId="1" applyNumberFormat="1" applyFont="1" applyFill="1" applyBorder="1" applyAlignment="1">
      <alignment horizontal="right"/>
    </xf>
    <xf numFmtId="0" fontId="61" fillId="0" borderId="3" xfId="0" applyFont="1" applyBorder="1" applyAlignment="1">
      <alignment horizontal="left" indent="2"/>
    </xf>
    <xf numFmtId="164" fontId="55" fillId="2" borderId="27" xfId="1" quotePrefix="1" applyNumberFormat="1" applyFont="1" applyFill="1" applyBorder="1" applyAlignment="1">
      <alignment horizontal="right"/>
    </xf>
    <xf numFmtId="164" fontId="56"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6" fontId="65" fillId="0" borderId="0" xfId="2" applyNumberFormat="1" applyFont="1" applyAlignment="1">
      <alignment horizontal="right"/>
    </xf>
    <xf numFmtId="166" fontId="4" fillId="0" borderId="0" xfId="2" applyNumberFormat="1" applyFont="1" applyAlignment="1">
      <alignment horizontal="right"/>
    </xf>
    <xf numFmtId="165" fontId="59" fillId="0" borderId="4" xfId="1" applyNumberFormat="1" applyFont="1" applyBorder="1" applyAlignment="1">
      <alignment horizontal="right"/>
    </xf>
    <xf numFmtId="0" fontId="2" fillId="0" borderId="0" xfId="0" applyFont="1"/>
    <xf numFmtId="0" fontId="68" fillId="0" borderId="0" xfId="0" applyFont="1"/>
    <xf numFmtId="165" fontId="68" fillId="0" borderId="0" xfId="1" applyNumberFormat="1" applyFont="1" applyAlignment="1">
      <alignment horizontal="right"/>
    </xf>
    <xf numFmtId="0" fontId="59" fillId="0" borderId="10" xfId="0" applyFont="1" applyBorder="1" applyAlignment="1">
      <alignment horizontal="left"/>
    </xf>
    <xf numFmtId="0" fontId="61" fillId="0" borderId="3" xfId="0" applyFont="1" applyBorder="1" applyAlignment="1">
      <alignment horizontal="left" indent="3"/>
    </xf>
    <xf numFmtId="165" fontId="53" fillId="0" borderId="5" xfId="1" quotePrefix="1" applyNumberFormat="1" applyFont="1" applyBorder="1" applyAlignment="1">
      <alignment horizontal="left" indent="1"/>
    </xf>
    <xf numFmtId="0" fontId="53" fillId="0" borderId="0" xfId="0" applyFont="1" applyAlignment="1">
      <alignment horizontal="left" indent="1"/>
    </xf>
    <xf numFmtId="0" fontId="69" fillId="0" borderId="4" xfId="0" applyFont="1" applyBorder="1" applyAlignment="1">
      <alignment horizontal="left"/>
    </xf>
    <xf numFmtId="0" fontId="59" fillId="0" borderId="4" xfId="0" applyFont="1" applyBorder="1"/>
    <xf numFmtId="9" fontId="53" fillId="0" borderId="5" xfId="2" quotePrefix="1" applyFont="1" applyBorder="1" applyAlignment="1">
      <alignment horizontal="right"/>
    </xf>
    <xf numFmtId="166" fontId="53" fillId="0" borderId="5" xfId="2" quotePrefix="1" applyNumberFormat="1" applyFont="1" applyBorder="1" applyAlignment="1">
      <alignment horizontal="right"/>
    </xf>
    <xf numFmtId="43" fontId="62" fillId="0" borderId="0" xfId="1" applyFont="1" applyAlignment="1">
      <alignment horizontal="right"/>
    </xf>
    <xf numFmtId="165" fontId="70" fillId="0" borderId="5" xfId="1" quotePrefix="1" applyNumberFormat="1" applyFont="1" applyBorder="1" applyAlignment="1">
      <alignment horizontal="right"/>
    </xf>
    <xf numFmtId="41" fontId="62" fillId="0" borderId="0" xfId="1" quotePrefix="1" applyNumberFormat="1" applyFont="1" applyAlignment="1">
      <alignment horizontal="right"/>
    </xf>
    <xf numFmtId="41" fontId="61" fillId="0" borderId="0" xfId="1" quotePrefix="1" applyNumberFormat="1" applyFont="1" applyAlignment="1">
      <alignment horizontal="left" indent="1"/>
    </xf>
    <xf numFmtId="164" fontId="59" fillId="0" borderId="8" xfId="1" applyNumberFormat="1" applyFont="1" applyBorder="1" applyAlignment="1">
      <alignment horizontal="right"/>
    </xf>
    <xf numFmtId="0" fontId="68" fillId="0" borderId="4" xfId="0" applyFont="1" applyBorder="1" applyAlignment="1">
      <alignment horizontal="left"/>
    </xf>
    <xf numFmtId="165" fontId="60" fillId="0" borderId="5" xfId="1" applyNumberFormat="1" applyFont="1" applyBorder="1" applyAlignment="1">
      <alignment horizontal="right"/>
    </xf>
    <xf numFmtId="165" fontId="59" fillId="0" borderId="10" xfId="1" applyNumberFormat="1" applyFont="1" applyBorder="1" applyAlignment="1">
      <alignment horizontal="right"/>
    </xf>
    <xf numFmtId="165" fontId="59" fillId="10" borderId="6" xfId="1" applyNumberFormat="1" applyFont="1" applyFill="1" applyBorder="1" applyAlignment="1">
      <alignment horizontal="right"/>
    </xf>
    <xf numFmtId="165" fontId="59" fillId="10" borderId="10" xfId="1" applyNumberFormat="1" applyFont="1" applyFill="1" applyBorder="1" applyAlignment="1">
      <alignment horizontal="right"/>
    </xf>
    <xf numFmtId="43" fontId="61" fillId="0" borderId="7" xfId="1" applyFont="1" applyBorder="1" applyAlignment="1">
      <alignment horizontal="right"/>
    </xf>
    <xf numFmtId="43" fontId="61" fillId="0" borderId="8" xfId="1" applyFont="1" applyBorder="1" applyAlignment="1">
      <alignment horizontal="right"/>
    </xf>
    <xf numFmtId="165" fontId="59" fillId="11" borderId="5" xfId="1" applyNumberFormat="1" applyFont="1" applyFill="1" applyBorder="1" applyAlignment="1">
      <alignment horizontal="right"/>
    </xf>
    <xf numFmtId="9" fontId="4" fillId="0" borderId="0" xfId="1" applyNumberFormat="1" applyFont="1"/>
    <xf numFmtId="165" fontId="59"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1"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1" fillId="0" borderId="27" xfId="0" applyFont="1" applyBorder="1" applyAlignment="1">
      <alignment vertical="top" wrapText="1"/>
    </xf>
    <xf numFmtId="0" fontId="72" fillId="0" borderId="28" xfId="0" applyFont="1" applyBorder="1" applyAlignment="1">
      <alignment horizontal="left" vertical="top" wrapText="1"/>
    </xf>
    <xf numFmtId="0" fontId="72" fillId="0" borderId="26" xfId="0" applyFont="1" applyBorder="1" applyAlignment="1">
      <alignment horizontal="left" vertical="top" wrapText="1"/>
    </xf>
    <xf numFmtId="0" fontId="2" fillId="0" borderId="28" xfId="0" applyFont="1" applyBorder="1" applyAlignment="1">
      <alignment horizontal="left" vertical="top" wrapText="1"/>
    </xf>
    <xf numFmtId="0" fontId="74" fillId="0" borderId="0" xfId="0" applyFont="1"/>
    <xf numFmtId="165" fontId="59" fillId="0" borderId="5" xfId="1" applyNumberFormat="1" applyFont="1" applyFill="1" applyBorder="1" applyAlignment="1">
      <alignment horizontal="right"/>
    </xf>
    <xf numFmtId="165" fontId="62" fillId="0" borderId="5" xfId="1" applyNumberFormat="1" applyFont="1" applyFill="1" applyBorder="1" applyAlignment="1">
      <alignment horizontal="right"/>
    </xf>
    <xf numFmtId="165" fontId="61" fillId="0" borderId="5" xfId="1" applyNumberFormat="1" applyFont="1" applyFill="1" applyBorder="1" applyAlignment="1">
      <alignment horizontal="right"/>
    </xf>
    <xf numFmtId="165" fontId="52" fillId="0" borderId="5" xfId="1" applyNumberFormat="1" applyFont="1" applyFill="1" applyBorder="1" applyAlignment="1">
      <alignment horizontal="right"/>
    </xf>
    <xf numFmtId="43" fontId="61" fillId="0" borderId="5" xfId="1" applyFont="1" applyFill="1" applyBorder="1" applyAlignment="1">
      <alignment horizontal="right"/>
    </xf>
    <xf numFmtId="165" fontId="59" fillId="0" borderId="0" xfId="1" applyNumberFormat="1" applyFont="1" applyFill="1" applyAlignment="1">
      <alignment horizontal="right"/>
    </xf>
    <xf numFmtId="165" fontId="61" fillId="0" borderId="0" xfId="1" applyNumberFormat="1" applyFont="1" applyFill="1" applyAlignment="1">
      <alignment horizontal="right"/>
    </xf>
    <xf numFmtId="165" fontId="62" fillId="0" borderId="0" xfId="1" applyNumberFormat="1" applyFont="1" applyFill="1" applyAlignment="1">
      <alignment horizontal="right"/>
    </xf>
    <xf numFmtId="43" fontId="61" fillId="0" borderId="0" xfId="1" applyFont="1" applyFill="1" applyAlignment="1">
      <alignment horizontal="right"/>
    </xf>
    <xf numFmtId="43" fontId="61" fillId="0" borderId="7" xfId="1" applyFont="1" applyFill="1" applyBorder="1" applyAlignment="1">
      <alignment horizontal="right"/>
    </xf>
    <xf numFmtId="0" fontId="4" fillId="0" borderId="0" xfId="0" applyFont="1" applyFill="1"/>
    <xf numFmtId="0" fontId="53" fillId="0" borderId="0" xfId="0" applyFont="1" applyFill="1" applyAlignment="1">
      <alignment horizontal="left" indent="1"/>
    </xf>
    <xf numFmtId="9" fontId="59" fillId="0" borderId="0" xfId="2" applyFont="1" applyFill="1" applyAlignment="1">
      <alignment horizontal="right"/>
    </xf>
    <xf numFmtId="0" fontId="53" fillId="0" borderId="0" xfId="0" applyFont="1" applyFill="1"/>
    <xf numFmtId="43" fontId="59" fillId="0" borderId="0" xfId="1" applyFont="1" applyFill="1" applyAlignment="1">
      <alignment horizontal="right"/>
    </xf>
    <xf numFmtId="0" fontId="66" fillId="0" borderId="0" xfId="0" applyFont="1" applyFill="1"/>
    <xf numFmtId="166" fontId="59" fillId="0" borderId="0" xfId="2" applyNumberFormat="1" applyFont="1" applyFill="1" applyAlignment="1">
      <alignment horizontal="right"/>
    </xf>
    <xf numFmtId="0" fontId="59" fillId="0" borderId="0" xfId="0" applyFont="1" applyFill="1"/>
    <xf numFmtId="7" fontId="59" fillId="0" borderId="0" xfId="1" applyNumberFormat="1" applyFont="1" applyFill="1" applyAlignment="1">
      <alignment horizontal="right"/>
    </xf>
    <xf numFmtId="166" fontId="59" fillId="0" borderId="5" xfId="2" applyNumberFormat="1" applyFont="1" applyFill="1" applyBorder="1" applyAlignment="1">
      <alignment horizontal="right"/>
    </xf>
    <xf numFmtId="0" fontId="68" fillId="0" borderId="0" xfId="0" applyFont="1" applyFill="1"/>
    <xf numFmtId="165" fontId="59" fillId="0" borderId="6" xfId="1" applyNumberFormat="1" applyFont="1" applyFill="1" applyBorder="1" applyAlignment="1">
      <alignment horizontal="right"/>
    </xf>
    <xf numFmtId="9" fontId="65" fillId="0" borderId="0" xfId="2" applyFont="1" applyAlignment="1">
      <alignment horizontal="right"/>
    </xf>
    <xf numFmtId="43" fontId="59"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2" fillId="0" borderId="0" xfId="1" applyNumberFormat="1" applyFont="1" applyFill="1" applyAlignment="1">
      <alignment horizontal="right"/>
    </xf>
    <xf numFmtId="9" fontId="65" fillId="0" borderId="0" xfId="2" applyFont="1" applyFill="1" applyAlignment="1">
      <alignment horizontal="right"/>
    </xf>
    <xf numFmtId="165" fontId="59" fillId="0" borderId="7" xfId="1" applyNumberFormat="1" applyFont="1" applyFill="1" applyBorder="1" applyAlignment="1">
      <alignment horizontal="right"/>
    </xf>
    <xf numFmtId="43" fontId="61" fillId="0" borderId="8" xfId="1" applyFont="1" applyFill="1" applyBorder="1" applyAlignment="1">
      <alignment horizontal="right"/>
    </xf>
    <xf numFmtId="0" fontId="59" fillId="0" borderId="3" xfId="0" applyFont="1" applyBorder="1" applyAlignment="1">
      <alignment horizontal="left"/>
    </xf>
    <xf numFmtId="0" fontId="59" fillId="0" borderId="4" xfId="0" applyFont="1" applyBorder="1" applyAlignment="1">
      <alignment horizontal="left"/>
    </xf>
    <xf numFmtId="9" fontId="4" fillId="0" borderId="0" xfId="1" applyNumberFormat="1" applyFont="1" applyFill="1"/>
    <xf numFmtId="165" fontId="59" fillId="0" borderId="10" xfId="1" applyNumberFormat="1" applyFont="1" applyFill="1" applyBorder="1" applyAlignment="1">
      <alignment horizontal="right"/>
    </xf>
    <xf numFmtId="0" fontId="61" fillId="0" borderId="0" xfId="0" applyFont="1" applyFill="1"/>
    <xf numFmtId="9" fontId="59" fillId="0" borderId="5" xfId="2" applyFont="1" applyFill="1" applyBorder="1" applyAlignment="1">
      <alignment horizontal="right"/>
    </xf>
    <xf numFmtId="43" fontId="59" fillId="0" borderId="5" xfId="1" applyNumberFormat="1" applyFont="1" applyBorder="1" applyAlignment="1">
      <alignment horizontal="right"/>
    </xf>
    <xf numFmtId="166" fontId="59" fillId="11" borderId="5" xfId="2" applyNumberFormat="1" applyFont="1" applyFill="1" applyBorder="1" applyAlignment="1">
      <alignment horizontal="right"/>
    </xf>
    <xf numFmtId="9" fontId="59" fillId="0" borderId="0" xfId="1" applyNumberFormat="1" applyFont="1" applyFill="1"/>
    <xf numFmtId="166" fontId="4" fillId="0" borderId="0" xfId="2" applyNumberFormat="1" applyFont="1" applyFill="1" applyAlignment="1">
      <alignment horizontal="right"/>
    </xf>
    <xf numFmtId="0" fontId="61" fillId="0" borderId="1" xfId="0" applyFont="1" applyFill="1" applyBorder="1" applyAlignment="1">
      <alignment horizontal="left"/>
    </xf>
    <xf numFmtId="5" fontId="61"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59" fillId="0" borderId="0" xfId="1" applyFont="1" applyFill="1" applyAlignment="1">
      <alignment horizontal="left"/>
    </xf>
    <xf numFmtId="165" fontId="59" fillId="0" borderId="0" xfId="1" applyNumberFormat="1" applyFont="1" applyFill="1" applyAlignment="1">
      <alignment horizontal="left"/>
    </xf>
    <xf numFmtId="0" fontId="61" fillId="0" borderId="3" xfId="0" applyFont="1" applyFill="1" applyBorder="1" applyAlignment="1">
      <alignment horizontal="left"/>
    </xf>
    <xf numFmtId="5" fontId="63" fillId="0" borderId="4" xfId="1" applyNumberFormat="1" applyFont="1" applyFill="1" applyBorder="1" applyAlignment="1">
      <alignment horizontal="right"/>
    </xf>
    <xf numFmtId="5" fontId="61" fillId="0" borderId="4" xfId="1" applyNumberFormat="1" applyFont="1" applyFill="1" applyBorder="1" applyAlignment="1">
      <alignment horizontal="right"/>
    </xf>
    <xf numFmtId="167" fontId="59" fillId="0" borderId="0" xfId="1" applyNumberFormat="1" applyFont="1" applyFill="1" applyAlignment="1">
      <alignment horizontal="right"/>
    </xf>
    <xf numFmtId="166" fontId="59" fillId="0" borderId="0" xfId="2" applyNumberFormat="1" applyFont="1" applyFill="1" applyAlignment="1">
      <alignment horizontal="left"/>
    </xf>
    <xf numFmtId="0" fontId="61" fillId="0" borderId="21" xfId="0" applyFont="1" applyFill="1" applyBorder="1" applyAlignment="1">
      <alignment horizontal="left"/>
    </xf>
    <xf numFmtId="5" fontId="61" fillId="0" borderId="22" xfId="1" applyNumberFormat="1" applyFont="1" applyFill="1" applyBorder="1" applyAlignment="1">
      <alignment horizontal="right"/>
    </xf>
    <xf numFmtId="9" fontId="59" fillId="0" borderId="0" xfId="1" applyNumberFormat="1" applyFont="1" applyFill="1" applyAlignment="1">
      <alignment horizontal="left"/>
    </xf>
    <xf numFmtId="10" fontId="59" fillId="0" borderId="0" xfId="1" applyNumberFormat="1" applyFont="1" applyFill="1" applyAlignment="1">
      <alignment horizontal="right"/>
    </xf>
    <xf numFmtId="10" fontId="4" fillId="0" borderId="0" xfId="2" applyNumberFormat="1" applyFont="1" applyAlignment="1">
      <alignment horizontal="right"/>
    </xf>
    <xf numFmtId="164" fontId="1" fillId="0" borderId="0" xfId="1" applyNumberFormat="1" applyFont="1" applyAlignment="1">
      <alignment horizontal="right"/>
    </xf>
    <xf numFmtId="0" fontId="1" fillId="0" borderId="0" xfId="0" applyFont="1" applyAlignment="1">
      <alignment horizontal="right"/>
    </xf>
    <xf numFmtId="43" fontId="1" fillId="0" borderId="0" xfId="1" applyFont="1" applyAlignment="1">
      <alignment horizontal="right"/>
    </xf>
    <xf numFmtId="43" fontId="1" fillId="0" borderId="0" xfId="1" applyFont="1" applyFill="1" applyAlignment="1">
      <alignment horizontal="right"/>
    </xf>
    <xf numFmtId="166" fontId="1" fillId="0" borderId="0" xfId="2" applyNumberFormat="1" applyFont="1" applyFill="1" applyAlignment="1">
      <alignment horizontal="left"/>
    </xf>
    <xf numFmtId="166" fontId="1" fillId="0" borderId="0" xfId="2" applyNumberFormat="1" applyFont="1" applyFill="1" applyAlignment="1">
      <alignment horizontal="right"/>
    </xf>
    <xf numFmtId="9" fontId="1" fillId="0" borderId="0" xfId="2" applyFont="1" applyFill="1" applyAlignment="1">
      <alignment horizontal="right"/>
    </xf>
    <xf numFmtId="165" fontId="1" fillId="0" borderId="0" xfId="1" applyNumberFormat="1" applyFont="1" applyFill="1" applyAlignment="1">
      <alignment horizontal="right"/>
    </xf>
    <xf numFmtId="43" fontId="1" fillId="0" borderId="0" xfId="1" applyNumberFormat="1" applyFont="1"/>
    <xf numFmtId="164" fontId="1" fillId="0" borderId="0" xfId="1" applyNumberFormat="1" applyFont="1" applyAlignment="1">
      <alignment horizontal="left" vertical="top"/>
    </xf>
    <xf numFmtId="43" fontId="1" fillId="0" borderId="0" xfId="1" applyFont="1" applyAlignment="1">
      <alignment horizontal="left" vertical="top"/>
    </xf>
    <xf numFmtId="43" fontId="1" fillId="0" borderId="0" xfId="1" applyFont="1" applyFill="1" applyAlignment="1">
      <alignment horizontal="left" vertical="top"/>
    </xf>
    <xf numFmtId="166" fontId="1" fillId="0" borderId="0" xfId="2" applyNumberFormat="1" applyFont="1" applyFill="1" applyAlignment="1">
      <alignment horizontal="left" vertical="top"/>
    </xf>
    <xf numFmtId="9" fontId="1" fillId="0" borderId="0" xfId="1" applyNumberFormat="1" applyFont="1" applyFill="1" applyAlignment="1">
      <alignment horizontal="left" vertical="top"/>
    </xf>
    <xf numFmtId="164" fontId="1" fillId="0" borderId="0" xfId="1" applyNumberFormat="1" applyFont="1" applyAlignment="1">
      <alignment horizontal="left" vertical="center"/>
    </xf>
    <xf numFmtId="9" fontId="59" fillId="10" borderId="0" xfId="2" applyNumberFormat="1" applyFont="1" applyFill="1" applyAlignment="1">
      <alignment horizontal="right"/>
    </xf>
    <xf numFmtId="10" fontId="59" fillId="0" borderId="0" xfId="2" applyNumberFormat="1" applyFont="1" applyAlignment="1">
      <alignment horizontal="right"/>
    </xf>
    <xf numFmtId="9" fontId="59" fillId="0" borderId="0" xfId="2" applyNumberFormat="1" applyFont="1" applyFill="1" applyAlignment="1">
      <alignment horizontal="right"/>
    </xf>
    <xf numFmtId="9" fontId="59" fillId="0" borderId="0" xfId="2" applyNumberFormat="1" applyFont="1" applyAlignment="1">
      <alignment horizontal="right"/>
    </xf>
    <xf numFmtId="9" fontId="4" fillId="0" borderId="5" xfId="1" quotePrefix="1" applyNumberFormat="1" applyFont="1" applyBorder="1" applyAlignment="1">
      <alignment horizontal="right"/>
    </xf>
    <xf numFmtId="0" fontId="0" fillId="0" borderId="0" xfId="0" applyFont="1"/>
    <xf numFmtId="3" fontId="4" fillId="0" borderId="0" xfId="0" applyNumberFormat="1" applyFont="1" applyAlignment="1">
      <alignment horizontal="right"/>
    </xf>
    <xf numFmtId="43" fontId="4" fillId="0" borderId="0" xfId="0" applyNumberFormat="1" applyFont="1" applyAlignment="1">
      <alignment horizontal="right"/>
    </xf>
    <xf numFmtId="10" fontId="59" fillId="0" borderId="5" xfId="2" applyNumberFormat="1" applyFont="1" applyBorder="1" applyAlignment="1">
      <alignment horizontal="right"/>
    </xf>
    <xf numFmtId="0" fontId="57" fillId="2" borderId="1" xfId="0" applyFont="1" applyFill="1" applyBorder="1" applyAlignment="1">
      <alignment horizontal="left"/>
    </xf>
    <xf numFmtId="0" fontId="57" fillId="2" borderId="11" xfId="0" applyFont="1" applyFill="1" applyBorder="1" applyAlignment="1">
      <alignment horizontal="left"/>
    </xf>
    <xf numFmtId="0" fontId="58" fillId="0" borderId="4" xfId="0" applyFont="1" applyBorder="1" applyAlignment="1">
      <alignment horizontal="center" wrapText="1"/>
    </xf>
    <xf numFmtId="0" fontId="57" fillId="2" borderId="3" xfId="0" applyFont="1" applyFill="1" applyBorder="1" applyAlignment="1">
      <alignment horizontal="left"/>
    </xf>
    <xf numFmtId="0" fontId="57" fillId="2" borderId="4" xfId="0" applyFont="1" applyFill="1" applyBorder="1" applyAlignment="1">
      <alignment horizontal="left"/>
    </xf>
    <xf numFmtId="0" fontId="59" fillId="0" borderId="3" xfId="0" applyFont="1" applyBorder="1" applyAlignment="1">
      <alignment horizontal="left"/>
    </xf>
    <xf numFmtId="0" fontId="59" fillId="0" borderId="4" xfId="0" applyFont="1" applyBorder="1" applyAlignment="1">
      <alignment horizontal="left"/>
    </xf>
    <xf numFmtId="0" fontId="58" fillId="2" borderId="3" xfId="0" applyFont="1" applyFill="1" applyBorder="1" applyAlignment="1">
      <alignment horizontal="left"/>
    </xf>
    <xf numFmtId="0" fontId="58" fillId="2" borderId="4" xfId="0" applyFont="1" applyFill="1" applyBorder="1" applyAlignment="1">
      <alignment horizontal="left"/>
    </xf>
    <xf numFmtId="0" fontId="59" fillId="0" borderId="23" xfId="0" applyFont="1" applyBorder="1" applyAlignment="1">
      <alignment horizontal="left" vertical="top" wrapText="1"/>
    </xf>
    <xf numFmtId="0" fontId="59" fillId="0" borderId="24" xfId="0" applyFont="1" applyBorder="1" applyAlignment="1">
      <alignment horizontal="left" vertical="top" wrapText="1"/>
    </xf>
    <xf numFmtId="0" fontId="59" fillId="0" borderId="6" xfId="0" applyFont="1" applyBorder="1" applyAlignment="1">
      <alignment horizontal="left"/>
    </xf>
    <xf numFmtId="0" fontId="59" fillId="0" borderId="10" xfId="0" applyFont="1" applyBorder="1" applyAlignment="1">
      <alignment horizontal="left"/>
    </xf>
    <xf numFmtId="0" fontId="61" fillId="0" borderId="3" xfId="0" applyFont="1" applyBorder="1" applyAlignment="1">
      <alignment horizontal="left" indent="3"/>
    </xf>
    <xf numFmtId="0" fontId="61" fillId="0" borderId="4" xfId="0" applyFont="1" applyBorder="1" applyAlignment="1">
      <alignment horizontal="left" indent="3"/>
    </xf>
    <xf numFmtId="0" fontId="61" fillId="0" borderId="6" xfId="0" applyFont="1" applyBorder="1" applyAlignment="1">
      <alignment horizontal="left" indent="1"/>
    </xf>
    <xf numFmtId="0" fontId="61" fillId="0" borderId="10" xfId="0" applyFont="1" applyBorder="1" applyAlignment="1">
      <alignment horizontal="left" indent="1"/>
    </xf>
    <xf numFmtId="0" fontId="61" fillId="0" borderId="3" xfId="0" applyFont="1" applyBorder="1" applyAlignment="1">
      <alignment horizontal="left" indent="1"/>
    </xf>
    <xf numFmtId="0" fontId="61" fillId="0" borderId="4" xfId="0" applyFont="1" applyBorder="1" applyAlignment="1">
      <alignment horizontal="left" indent="1"/>
    </xf>
    <xf numFmtId="0" fontId="59" fillId="10" borderId="1" xfId="0" applyFont="1" applyFill="1" applyBorder="1" applyAlignment="1">
      <alignment horizontal="left"/>
    </xf>
    <xf numFmtId="0" fontId="59" fillId="10" borderId="11" xfId="0" applyFont="1" applyFill="1" applyBorder="1" applyAlignment="1">
      <alignment horizontal="left"/>
    </xf>
    <xf numFmtId="0" fontId="59" fillId="11" borderId="3" xfId="0" applyFont="1" applyFill="1" applyBorder="1" applyAlignment="1">
      <alignment horizontal="left"/>
    </xf>
    <xf numFmtId="0" fontId="59" fillId="11" borderId="4" xfId="0" applyFont="1" applyFill="1" applyBorder="1" applyAlignment="1">
      <alignment horizontal="left"/>
    </xf>
    <xf numFmtId="0" fontId="59" fillId="9" borderId="6" xfId="0" applyFont="1" applyFill="1" applyBorder="1" applyAlignment="1">
      <alignment horizontal="left"/>
    </xf>
    <xf numFmtId="0" fontId="59"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2591.6063858036805</c:v>
                </c:pt>
                <c:pt idx="5">
                  <c:v>2623.7763144648479</c:v>
                </c:pt>
                <c:pt idx="6">
                  <c:v>2671.7599419787807</c:v>
                </c:pt>
                <c:pt idx="7">
                  <c:v>2763.4834423284819</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6.6282818871575966</c:v>
                </c:pt>
                <c:pt idx="5">
                  <c:v>7.252676424798647</c:v>
                </c:pt>
                <c:pt idx="6">
                  <c:v>8.8849547543705061</c:v>
                </c:pt>
                <c:pt idx="7">
                  <c:v>7.7186690171055501</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topLeftCell="A17" zoomScale="132" workbookViewId="0">
      <selection activeCell="B21" sqref="B21"/>
    </sheetView>
  </sheetViews>
  <sheetFormatPr defaultColWidth="8.77734375" defaultRowHeight="14.4" x14ac:dyDescent="0.3"/>
  <cols>
    <col min="1" max="1" width="1" customWidth="1"/>
    <col min="2" max="2" width="182.6640625" style="117" customWidth="1"/>
  </cols>
  <sheetData>
    <row r="2" spans="2:2" ht="21" x14ac:dyDescent="0.3">
      <c r="B2" s="122" t="s">
        <v>119</v>
      </c>
    </row>
    <row r="3" spans="2:2" ht="115.2" x14ac:dyDescent="0.3">
      <c r="B3" s="112" t="s">
        <v>152</v>
      </c>
    </row>
    <row r="4" spans="2:2" ht="43.2" x14ac:dyDescent="0.3">
      <c r="B4" s="113" t="s">
        <v>120</v>
      </c>
    </row>
    <row r="5" spans="2:2" ht="28.8" x14ac:dyDescent="0.3">
      <c r="B5" s="113" t="s">
        <v>132</v>
      </c>
    </row>
    <row r="6" spans="2:2" ht="100.8" x14ac:dyDescent="0.3">
      <c r="B6" s="113" t="s">
        <v>121</v>
      </c>
    </row>
    <row r="7" spans="2:2" ht="43.2" x14ac:dyDescent="0.3">
      <c r="B7" s="112" t="s">
        <v>140</v>
      </c>
    </row>
    <row r="8" spans="2:2" ht="28.8" x14ac:dyDescent="0.3">
      <c r="B8" s="113" t="s">
        <v>122</v>
      </c>
    </row>
    <row r="9" spans="2:2" x14ac:dyDescent="0.3">
      <c r="B9" s="113" t="s">
        <v>123</v>
      </c>
    </row>
    <row r="10" spans="2:2" ht="57.6" x14ac:dyDescent="0.3">
      <c r="B10" s="123" t="s">
        <v>124</v>
      </c>
    </row>
    <row r="11" spans="2:2" x14ac:dyDescent="0.3">
      <c r="B11" s="112" t="s">
        <v>133</v>
      </c>
    </row>
    <row r="12" spans="2:2" x14ac:dyDescent="0.3">
      <c r="B12" s="113" t="s">
        <v>125</v>
      </c>
    </row>
    <row r="13" spans="2:2" ht="43.2" x14ac:dyDescent="0.3">
      <c r="B13" s="112" t="s">
        <v>134</v>
      </c>
    </row>
    <row r="14" spans="2:2" x14ac:dyDescent="0.3">
      <c r="B14" s="124" t="s">
        <v>126</v>
      </c>
    </row>
    <row r="15" spans="2:2" x14ac:dyDescent="0.3">
      <c r="B15" s="114" t="s">
        <v>127</v>
      </c>
    </row>
    <row r="16" spans="2:2" x14ac:dyDescent="0.3">
      <c r="B16" s="114" t="s">
        <v>128</v>
      </c>
    </row>
    <row r="17" spans="2:2" ht="162" customHeight="1" x14ac:dyDescent="0.3">
      <c r="B17" s="125" t="s">
        <v>129</v>
      </c>
    </row>
    <row r="18" spans="2:2" x14ac:dyDescent="0.3">
      <c r="B18" s="115" t="s">
        <v>130</v>
      </c>
    </row>
    <row r="19" spans="2:2" x14ac:dyDescent="0.3">
      <c r="B19" s="116" t="s">
        <v>131</v>
      </c>
    </row>
    <row r="21" spans="2:2" ht="21" x14ac:dyDescent="0.3">
      <c r="B21" s="122" t="s">
        <v>135</v>
      </c>
    </row>
    <row r="22" spans="2:2" x14ac:dyDescent="0.3">
      <c r="B22" s="118" t="s">
        <v>136</v>
      </c>
    </row>
    <row r="23" spans="2:2" ht="100.8" x14ac:dyDescent="0.3">
      <c r="B23" s="119" t="s">
        <v>137</v>
      </c>
    </row>
    <row r="24" spans="2:2" ht="43.2" x14ac:dyDescent="0.3">
      <c r="B24" s="120" t="s">
        <v>138</v>
      </c>
    </row>
    <row r="25" spans="2:2" ht="172.8" x14ac:dyDescent="0.3">
      <c r="B25" s="121"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6"/>
  <sheetViews>
    <sheetView showGridLines="0" tabSelected="1" zoomScaleNormal="100" workbookViewId="0">
      <pane xSplit="3" ySplit="12" topLeftCell="W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customWidth="1" outlineLevel="1"/>
    <col min="6" max="7" width="11.44140625" style="11" customWidth="1" outlineLevel="1"/>
    <col min="8" max="8" width="11.44140625" style="11" customWidth="1"/>
    <col min="9" max="10" width="11.44140625" style="3" customWidth="1" outlineLevel="1"/>
    <col min="11" max="12" width="11.44140625" style="11" customWidth="1" outlineLevel="1"/>
    <col min="13" max="13" width="11.44140625" style="11" customWidth="1"/>
    <col min="14" max="15" width="11.44140625" style="3" customWidth="1" outlineLevel="1"/>
    <col min="16" max="17" width="11.44140625" style="11" customWidth="1" outlineLevel="1"/>
    <col min="18" max="18" width="11.44140625" style="11" customWidth="1"/>
    <col min="19" max="20" width="11.44140625" style="3" customWidth="1" outlineLevel="1"/>
    <col min="21" max="22" width="11.44140625" style="11" customWidth="1" outlineLevel="1"/>
    <col min="23" max="23" width="11.44140625" style="11" customWidth="1"/>
    <col min="24" max="24" width="15.109375" style="3" customWidth="1" outlineLevel="1"/>
    <col min="25"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19.95" customHeight="1" x14ac:dyDescent="0.3">
      <c r="B1" s="126" t="s">
        <v>15</v>
      </c>
      <c r="AB1" s="206"/>
    </row>
    <row r="2" spans="1:61" ht="59.25" customHeight="1" x14ac:dyDescent="0.3">
      <c r="B2" s="217" t="s">
        <v>14</v>
      </c>
      <c r="C2" s="218"/>
      <c r="K2" s="12"/>
      <c r="Y2" s="14"/>
      <c r="Z2" s="205"/>
      <c r="AA2" s="14"/>
      <c r="AB2" s="14"/>
    </row>
    <row r="3" spans="1:61" x14ac:dyDescent="0.3">
      <c r="B3" s="227" t="s">
        <v>154</v>
      </c>
      <c r="C3" s="228"/>
      <c r="D3" s="13"/>
      <c r="G3" s="14"/>
      <c r="H3" s="14"/>
      <c r="X3" s="198"/>
      <c r="Y3" s="184"/>
      <c r="Z3" s="185"/>
      <c r="AA3" s="185"/>
      <c r="AB3" s="185"/>
      <c r="AC3" s="184"/>
      <c r="AD3" s="184"/>
      <c r="AE3" s="185"/>
      <c r="AF3" s="185"/>
      <c r="AG3" s="185"/>
    </row>
    <row r="4" spans="1:61" x14ac:dyDescent="0.3">
      <c r="B4" s="229" t="s">
        <v>155</v>
      </c>
      <c r="C4" s="230"/>
      <c r="D4" s="13"/>
      <c r="G4" s="14"/>
      <c r="H4" s="14"/>
      <c r="J4" s="16"/>
      <c r="T4" s="183"/>
      <c r="X4" s="193"/>
      <c r="Y4" s="184"/>
      <c r="Z4" s="184"/>
      <c r="AA4" s="184"/>
      <c r="AB4" s="184"/>
      <c r="AC4" s="184"/>
      <c r="AD4" s="184"/>
      <c r="AE4" s="184"/>
      <c r="AF4" s="184"/>
      <c r="AG4" s="184"/>
      <c r="BI4" s="4" t="s">
        <v>15</v>
      </c>
    </row>
    <row r="5" spans="1:61" x14ac:dyDescent="0.3">
      <c r="B5" s="231" t="s">
        <v>156</v>
      </c>
      <c r="C5" s="232"/>
      <c r="D5" s="15"/>
      <c r="E5" s="13"/>
      <c r="F5" s="13"/>
      <c r="G5" s="14"/>
      <c r="H5" s="14"/>
      <c r="I5" s="14"/>
      <c r="J5" s="14"/>
      <c r="K5" s="14"/>
      <c r="L5" s="14"/>
      <c r="M5" s="13"/>
      <c r="N5" s="13"/>
      <c r="O5" s="13"/>
      <c r="P5" s="13"/>
      <c r="Q5" s="13"/>
      <c r="R5" s="13"/>
      <c r="S5" s="13"/>
      <c r="T5" s="13"/>
      <c r="U5" s="13"/>
      <c r="V5" s="13"/>
      <c r="W5" s="13"/>
      <c r="X5" s="194"/>
      <c r="Y5" s="186"/>
      <c r="Z5" s="186"/>
      <c r="AA5" s="186"/>
      <c r="AB5" s="186"/>
      <c r="AC5" s="186"/>
      <c r="AD5" s="186"/>
      <c r="AE5" s="186"/>
      <c r="AF5" s="186"/>
      <c r="AG5" s="186"/>
    </row>
    <row r="6" spans="1:61" s="137" customFormat="1" ht="14.55" hidden="1" customHeight="1" x14ac:dyDescent="0.3">
      <c r="B6" s="168"/>
      <c r="C6" s="169"/>
      <c r="D6" s="170"/>
      <c r="E6" s="170"/>
      <c r="F6" s="170"/>
      <c r="G6" s="153"/>
      <c r="H6" s="153"/>
      <c r="I6" s="170"/>
      <c r="J6" s="170"/>
      <c r="K6" s="170"/>
      <c r="L6" s="170"/>
      <c r="M6" s="171"/>
      <c r="N6" s="170"/>
      <c r="O6" s="170"/>
      <c r="P6" s="170"/>
      <c r="Q6" s="170"/>
      <c r="R6" s="170"/>
      <c r="S6" s="170"/>
      <c r="T6" s="172"/>
      <c r="U6" s="173"/>
      <c r="V6" s="170"/>
      <c r="W6" s="172"/>
      <c r="X6" s="195"/>
      <c r="Y6" s="187"/>
      <c r="Z6" s="187"/>
      <c r="AA6" s="187"/>
      <c r="AB6" s="187"/>
      <c r="AC6" s="187"/>
      <c r="AD6" s="187"/>
      <c r="AE6" s="187"/>
      <c r="AF6" s="187"/>
      <c r="AG6" s="187"/>
    </row>
    <row r="7" spans="1:61" s="137" customFormat="1" ht="14.55" hidden="1" customHeight="1" x14ac:dyDescent="0.3">
      <c r="B7" s="174"/>
      <c r="C7" s="175"/>
      <c r="D7" s="170"/>
      <c r="E7" s="170"/>
      <c r="F7" s="170"/>
      <c r="G7" s="170"/>
      <c r="H7" s="141"/>
      <c r="I7" s="141"/>
      <c r="J7" s="141"/>
      <c r="K7" s="141"/>
      <c r="L7" s="141"/>
      <c r="M7" s="141"/>
      <c r="N7" s="141"/>
      <c r="O7" s="141"/>
      <c r="P7" s="141"/>
      <c r="Q7" s="141"/>
      <c r="R7" s="141"/>
      <c r="S7" s="141"/>
      <c r="T7" s="172"/>
      <c r="U7" s="173"/>
      <c r="V7" s="141"/>
      <c r="W7" s="172"/>
      <c r="X7" s="195"/>
      <c r="Y7" s="187"/>
      <c r="Z7" s="187"/>
      <c r="AA7" s="187"/>
      <c r="AB7" s="187"/>
      <c r="AC7" s="187"/>
      <c r="AD7" s="187"/>
      <c r="AE7" s="187"/>
      <c r="AF7" s="187"/>
      <c r="AG7" s="187"/>
    </row>
    <row r="8" spans="1:61" s="137" customFormat="1" ht="14.55" hidden="1" customHeight="1" x14ac:dyDescent="0.3">
      <c r="B8" s="174"/>
      <c r="C8" s="176"/>
      <c r="D8" s="170"/>
      <c r="E8" s="170"/>
      <c r="F8" s="152"/>
      <c r="G8" s="170"/>
      <c r="H8" s="141"/>
      <c r="I8" s="141"/>
      <c r="J8" s="141"/>
      <c r="K8" s="141"/>
      <c r="L8" s="141"/>
      <c r="M8" s="141"/>
      <c r="N8" s="141"/>
      <c r="O8" s="177"/>
      <c r="P8" s="141"/>
      <c r="Q8" s="141"/>
      <c r="R8" s="141"/>
      <c r="S8" s="132"/>
      <c r="T8" s="172"/>
      <c r="U8" s="178"/>
      <c r="V8" s="178"/>
      <c r="W8" s="132"/>
      <c r="X8" s="196"/>
      <c r="Y8" s="188"/>
      <c r="Z8" s="189"/>
      <c r="AA8" s="190"/>
      <c r="AB8" s="189"/>
      <c r="AC8" s="191"/>
      <c r="AD8" s="191"/>
      <c r="AE8" s="191"/>
      <c r="AF8" s="189"/>
      <c r="AG8" s="191"/>
    </row>
    <row r="9" spans="1:61" s="137" customFormat="1" ht="14.55" hidden="1" customHeight="1" x14ac:dyDescent="0.3">
      <c r="B9" s="179"/>
      <c r="C9" s="180"/>
      <c r="D9" s="170"/>
      <c r="E9" s="170"/>
      <c r="F9" s="152"/>
      <c r="G9" s="170"/>
      <c r="H9" s="143"/>
      <c r="I9" s="143"/>
      <c r="J9" s="143"/>
      <c r="K9" s="143"/>
      <c r="L9" s="143"/>
      <c r="M9" s="143"/>
      <c r="N9" s="143"/>
      <c r="O9" s="143"/>
      <c r="P9" s="143"/>
      <c r="Q9" s="143"/>
      <c r="R9" s="143"/>
      <c r="S9" s="150"/>
      <c r="T9" s="132"/>
      <c r="U9" s="181"/>
      <c r="V9" s="182"/>
      <c r="W9" s="141"/>
      <c r="X9" s="197"/>
      <c r="Y9" s="187"/>
      <c r="Z9" s="187"/>
      <c r="AA9" s="187"/>
      <c r="AB9" s="189"/>
      <c r="AC9" s="189"/>
      <c r="AD9" s="189"/>
      <c r="AE9" s="189"/>
      <c r="AF9" s="189"/>
      <c r="AG9" s="189"/>
    </row>
    <row r="10" spans="1:61" ht="17.55" customHeight="1" x14ac:dyDescent="0.3">
      <c r="B10" s="126" t="s">
        <v>15</v>
      </c>
      <c r="D10" s="17"/>
      <c r="E10" s="17"/>
      <c r="F10" s="17"/>
      <c r="G10" s="17"/>
      <c r="H10" s="18"/>
      <c r="I10" s="17"/>
      <c r="J10" s="17"/>
      <c r="K10" s="17"/>
      <c r="L10" s="17"/>
      <c r="M10" s="17"/>
      <c r="N10" s="17"/>
      <c r="O10" s="17"/>
      <c r="P10" s="17"/>
      <c r="Q10" s="17"/>
      <c r="R10" s="17"/>
      <c r="S10" s="110"/>
      <c r="T10" s="110"/>
      <c r="U10" s="160"/>
      <c r="V10" s="166"/>
      <c r="W10" s="167"/>
      <c r="X10" s="197"/>
      <c r="Y10" s="192"/>
      <c r="Z10" s="192"/>
      <c r="AA10" s="192"/>
      <c r="AB10" s="192"/>
      <c r="AC10" s="192"/>
      <c r="AD10" s="192"/>
      <c r="AE10" s="192"/>
      <c r="AF10" s="192"/>
      <c r="AG10" s="192"/>
    </row>
    <row r="11" spans="1:61" ht="15.6" x14ac:dyDescent="0.3">
      <c r="A11" s="210"/>
      <c r="B11" s="208" t="s">
        <v>74</v>
      </c>
      <c r="C11" s="209"/>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210"/>
      <c r="B12" s="215" t="s">
        <v>3</v>
      </c>
      <c r="C12" s="216"/>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7"/>
      <c r="B13" s="213" t="s">
        <v>19</v>
      </c>
      <c r="C13" s="214"/>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2">
        <v>15077</v>
      </c>
      <c r="T13" s="132">
        <v>16886</v>
      </c>
      <c r="U13" s="132">
        <v>17652</v>
      </c>
      <c r="V13" s="132">
        <f>70697-U13-T13-S13</f>
        <v>21082</v>
      </c>
      <c r="W13" s="127">
        <f>SUM(S13:V13)</f>
        <v>70697</v>
      </c>
      <c r="X13" s="132">
        <v>17737</v>
      </c>
      <c r="Y13" s="132">
        <f>+Y40</f>
        <v>17215.657708967861</v>
      </c>
      <c r="Z13" s="132">
        <f>+Z40</f>
        <v>18912.741578270132</v>
      </c>
      <c r="AA13" s="132">
        <f>+AA40</f>
        <v>23525.300019315106</v>
      </c>
      <c r="AB13" s="127">
        <f>SUM(X13:AA13)</f>
        <v>77390.699306553099</v>
      </c>
      <c r="AC13" s="132">
        <f>+AC40</f>
        <v>20976.422355440194</v>
      </c>
      <c r="AD13" s="132">
        <f>+AD40</f>
        <v>20709.988994986077</v>
      </c>
      <c r="AE13" s="132">
        <f>+AE40</f>
        <v>23525.486088259233</v>
      </c>
      <c r="AF13" s="132">
        <f>+AF40</f>
        <v>30590.885970288502</v>
      </c>
      <c r="AG13" s="127">
        <f>SUM(AC13:AF13)</f>
        <v>95802.783408974006</v>
      </c>
      <c r="AK13" s="204"/>
    </row>
    <row r="14" spans="1:61" ht="16.2" x14ac:dyDescent="0.45">
      <c r="A14" s="137"/>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4">
        <v>3307</v>
      </c>
      <c r="U14" s="134">
        <v>3155</v>
      </c>
      <c r="V14" s="134">
        <f>12770-U14-T14-S14</f>
        <v>3492</v>
      </c>
      <c r="W14" s="128">
        <f>SUM(S14:V14)</f>
        <v>12770</v>
      </c>
      <c r="X14" s="134">
        <v>3459</v>
      </c>
      <c r="Y14" s="134">
        <f>+Y13*(1-Y69)</f>
        <v>3314.0141089763133</v>
      </c>
      <c r="Z14" s="134">
        <f>+Z13*(1-Z69)</f>
        <v>3640.7027538170005</v>
      </c>
      <c r="AA14" s="134">
        <f>+AA13*(1-AA69)</f>
        <v>4410.9937536215821</v>
      </c>
      <c r="AB14" s="128">
        <f>SUM(X14:AA14)</f>
        <v>14824.710616414895</v>
      </c>
      <c r="AC14" s="34">
        <f>+AC13*(1-AC69)</f>
        <v>3985.5202475336359</v>
      </c>
      <c r="AD14" s="34">
        <f>+AD13*(1-AD69)</f>
        <v>3934.8979090473536</v>
      </c>
      <c r="AE14" s="34">
        <f>+AE13*(1-AE69)</f>
        <v>4469.8423567692535</v>
      </c>
      <c r="AF14" s="34">
        <f>+AF13*(1-AF69)</f>
        <v>5812.2683343548133</v>
      </c>
      <c r="AG14" s="128">
        <f>SUM(AC14:AF14)</f>
        <v>18202.528847705056</v>
      </c>
    </row>
    <row r="15" spans="1:61" s="21" customFormat="1" x14ac:dyDescent="0.3">
      <c r="A15" s="140"/>
      <c r="B15" s="73" t="s">
        <v>66</v>
      </c>
      <c r="C15" s="74"/>
      <c r="D15" s="40">
        <f t="shared" ref="D15:AG15" si="0">+D13-D14</f>
        <v>4544</v>
      </c>
      <c r="E15" s="40">
        <f t="shared" si="0"/>
        <v>5520</v>
      </c>
      <c r="F15" s="40">
        <f t="shared" si="0"/>
        <v>6024</v>
      </c>
      <c r="G15" s="40">
        <f t="shared" si="0"/>
        <v>7761</v>
      </c>
      <c r="H15" s="41">
        <f t="shared" si="0"/>
        <v>23849</v>
      </c>
      <c r="I15" s="40">
        <f t="shared" si="0"/>
        <v>6873</v>
      </c>
      <c r="J15" s="40">
        <f t="shared" si="0"/>
        <v>8084</v>
      </c>
      <c r="K15" s="40">
        <f t="shared" si="0"/>
        <v>8880</v>
      </c>
      <c r="L15" s="40">
        <f t="shared" si="0"/>
        <v>11361</v>
      </c>
      <c r="M15" s="41">
        <f t="shared" si="0"/>
        <v>35198</v>
      </c>
      <c r="N15" s="40">
        <f t="shared" si="0"/>
        <v>10039</v>
      </c>
      <c r="O15" s="40">
        <f t="shared" si="0"/>
        <v>11017</v>
      </c>
      <c r="P15" s="40">
        <f t="shared" si="0"/>
        <v>11309</v>
      </c>
      <c r="Q15" s="40">
        <f t="shared" si="0"/>
        <v>14118</v>
      </c>
      <c r="R15" s="41">
        <f t="shared" si="0"/>
        <v>46483</v>
      </c>
      <c r="S15" s="40">
        <f t="shared" si="0"/>
        <v>12261</v>
      </c>
      <c r="T15" s="133">
        <f t="shared" si="0"/>
        <v>13579</v>
      </c>
      <c r="U15" s="40">
        <f t="shared" si="0"/>
        <v>14497</v>
      </c>
      <c r="V15" s="40">
        <f t="shared" si="0"/>
        <v>17590</v>
      </c>
      <c r="W15" s="41">
        <f t="shared" si="0"/>
        <v>57927</v>
      </c>
      <c r="X15" s="40">
        <f t="shared" si="0"/>
        <v>14278</v>
      </c>
      <c r="Y15" s="40">
        <f t="shared" si="0"/>
        <v>13901.643599991548</v>
      </c>
      <c r="Z15" s="40">
        <f t="shared" si="0"/>
        <v>15272.038824453131</v>
      </c>
      <c r="AA15" s="40">
        <f t="shared" si="0"/>
        <v>19114.306265693522</v>
      </c>
      <c r="AB15" s="129">
        <f t="shared" si="0"/>
        <v>62565.988690138205</v>
      </c>
      <c r="AC15" s="40">
        <f t="shared" si="0"/>
        <v>16990.902107906557</v>
      </c>
      <c r="AD15" s="40">
        <f t="shared" si="0"/>
        <v>16775.091085938722</v>
      </c>
      <c r="AE15" s="40">
        <f t="shared" si="0"/>
        <v>19055.643731489981</v>
      </c>
      <c r="AF15" s="40">
        <f t="shared" si="0"/>
        <v>24778.61763593369</v>
      </c>
      <c r="AG15" s="129">
        <f t="shared" si="0"/>
        <v>77600.254561268957</v>
      </c>
    </row>
    <row r="16" spans="1:61" x14ac:dyDescent="0.3">
      <c r="A16" s="137"/>
      <c r="B16" s="31" t="s">
        <v>21</v>
      </c>
      <c r="C16" s="71"/>
      <c r="D16" s="14"/>
      <c r="E16" s="14"/>
      <c r="F16" s="14"/>
      <c r="G16" s="14"/>
      <c r="H16" s="30"/>
      <c r="I16" s="14"/>
      <c r="J16" s="14"/>
      <c r="K16" s="14"/>
      <c r="L16" s="14"/>
      <c r="M16" s="30"/>
      <c r="N16" s="14"/>
      <c r="O16" s="14"/>
      <c r="P16" s="14"/>
      <c r="Q16" s="14"/>
      <c r="R16" s="30"/>
      <c r="S16" s="14"/>
      <c r="T16" s="153"/>
      <c r="U16" s="14"/>
      <c r="V16" s="14"/>
      <c r="W16" s="30"/>
      <c r="X16" s="14"/>
      <c r="Y16" s="14"/>
      <c r="Z16" s="14"/>
      <c r="AA16" s="14"/>
      <c r="AB16" s="127"/>
      <c r="AC16" s="14"/>
      <c r="AD16" s="14"/>
      <c r="AE16" s="14"/>
      <c r="AF16" s="14"/>
      <c r="AG16" s="127"/>
    </row>
    <row r="17" spans="1:33" x14ac:dyDescent="0.3">
      <c r="A17" s="137"/>
      <c r="B17" s="75" t="s">
        <v>68</v>
      </c>
      <c r="C17" s="32"/>
      <c r="D17" s="29">
        <v>1343</v>
      </c>
      <c r="E17" s="29">
        <v>1463</v>
      </c>
      <c r="F17" s="29">
        <v>1539</v>
      </c>
      <c r="G17" s="29">
        <f>5919-F17-E17-D17</f>
        <v>1574</v>
      </c>
      <c r="H17" s="30">
        <f>SUM(D17:G17)</f>
        <v>5919</v>
      </c>
      <c r="I17" s="29">
        <v>1834</v>
      </c>
      <c r="J17" s="29">
        <v>1919</v>
      </c>
      <c r="K17" s="29">
        <v>2052</v>
      </c>
      <c r="L17" s="29">
        <v>1949</v>
      </c>
      <c r="M17" s="30">
        <f>SUM(I17:L17)</f>
        <v>7754</v>
      </c>
      <c r="N17" s="29">
        <v>2238</v>
      </c>
      <c r="O17" s="29">
        <v>2523</v>
      </c>
      <c r="P17" s="29">
        <v>2657</v>
      </c>
      <c r="Q17" s="29">
        <v>2855</v>
      </c>
      <c r="R17" s="30">
        <f>SUM(N17:Q17)</f>
        <v>10273</v>
      </c>
      <c r="S17" s="29">
        <v>2860</v>
      </c>
      <c r="T17" s="132">
        <v>3315</v>
      </c>
      <c r="U17" s="29">
        <v>3548</v>
      </c>
      <c r="V17" s="29">
        <f>13600-U17-T17-S17</f>
        <v>3877</v>
      </c>
      <c r="W17" s="30">
        <f>SUM(S17:V17)</f>
        <v>13600</v>
      </c>
      <c r="X17" s="29">
        <v>4015</v>
      </c>
      <c r="Y17" s="29">
        <f>+Y13*Y70</f>
        <v>3615.2881188832507</v>
      </c>
      <c r="Z17" s="29">
        <f>+Z13*Z70</f>
        <v>3782.5483156540267</v>
      </c>
      <c r="AA17" s="29">
        <f>+AA13*AA70</f>
        <v>4587.4335037664459</v>
      </c>
      <c r="AB17" s="127">
        <f>SUM(X17:AA17)</f>
        <v>16000.269938303723</v>
      </c>
      <c r="AC17" s="29">
        <f>+AC13*AC70</f>
        <v>4195.284471088039</v>
      </c>
      <c r="AD17" s="29">
        <f>+AD13*AD70</f>
        <v>4141.9977989972158</v>
      </c>
      <c r="AE17" s="29">
        <f>+AE13*AE70</f>
        <v>4705.0972176518471</v>
      </c>
      <c r="AF17" s="29">
        <f>+AF13*AF70</f>
        <v>6118.1771940577009</v>
      </c>
      <c r="AG17" s="127">
        <f>SUM(AC17:AF17)</f>
        <v>19160.556681794806</v>
      </c>
    </row>
    <row r="18" spans="1:33" x14ac:dyDescent="0.3">
      <c r="A18" s="137"/>
      <c r="B18" s="75" t="s">
        <v>69</v>
      </c>
      <c r="C18" s="32"/>
      <c r="D18" s="29">
        <v>826</v>
      </c>
      <c r="E18" s="29">
        <v>899</v>
      </c>
      <c r="F18" s="29">
        <v>925</v>
      </c>
      <c r="G18" s="29">
        <f>3772-F18-E18-D18</f>
        <v>1122</v>
      </c>
      <c r="H18" s="30">
        <f>SUM(D18:G18)</f>
        <v>3772</v>
      </c>
      <c r="I18" s="29">
        <v>1057</v>
      </c>
      <c r="J18" s="29">
        <v>1124</v>
      </c>
      <c r="K18" s="29">
        <v>1170</v>
      </c>
      <c r="L18" s="29">
        <v>1374</v>
      </c>
      <c r="M18" s="30">
        <f>SUM(I18:L18)</f>
        <v>4725</v>
      </c>
      <c r="N18" s="29">
        <v>1595</v>
      </c>
      <c r="O18" s="29">
        <v>1855</v>
      </c>
      <c r="P18" s="29">
        <v>1928</v>
      </c>
      <c r="Q18" s="29">
        <v>2467</v>
      </c>
      <c r="R18" s="30">
        <f>SUM(N18:Q18)</f>
        <v>7845</v>
      </c>
      <c r="S18" s="29">
        <v>2020</v>
      </c>
      <c r="T18" s="132">
        <v>2414</v>
      </c>
      <c r="U18" s="29">
        <v>2416</v>
      </c>
      <c r="V18" s="29">
        <f>9876-U18-T18-S18</f>
        <v>3026</v>
      </c>
      <c r="W18" s="30">
        <f>SUM(S18:V18)</f>
        <v>9876</v>
      </c>
      <c r="X18" s="29">
        <v>2787</v>
      </c>
      <c r="Y18" s="29">
        <f>+Y13*Y71</f>
        <v>2926.6618105245366</v>
      </c>
      <c r="Z18" s="29">
        <f>+Z13*Z71</f>
        <v>2836.9112367405196</v>
      </c>
      <c r="AA18" s="29">
        <f>+AA13*AA71</f>
        <v>3293.542002704115</v>
      </c>
      <c r="AB18" s="127">
        <f>SUM(X18:AA18)</f>
        <v>11844.11504996917</v>
      </c>
      <c r="AC18" s="29">
        <f>+AC13*AC71</f>
        <v>3041.5812415388277</v>
      </c>
      <c r="AD18" s="29">
        <f>+AD13*AD71</f>
        <v>3002.948404272981</v>
      </c>
      <c r="AE18" s="29">
        <f>+AE13*AE71</f>
        <v>3411.1954827975887</v>
      </c>
      <c r="AF18" s="29">
        <f>+AF13*AF71</f>
        <v>4435.6784656918326</v>
      </c>
      <c r="AG18" s="127">
        <f>SUM(AC18:AF18)</f>
        <v>13891.403594301228</v>
      </c>
    </row>
    <row r="19" spans="1:33" ht="17.25" customHeight="1" x14ac:dyDescent="0.45">
      <c r="A19" s="137"/>
      <c r="B19" s="75" t="s">
        <v>70</v>
      </c>
      <c r="C19" s="32"/>
      <c r="D19" s="34">
        <v>366</v>
      </c>
      <c r="E19" s="34">
        <v>412</v>
      </c>
      <c r="F19" s="34">
        <v>438</v>
      </c>
      <c r="G19" s="34">
        <f>1731-F19-E19-D19</f>
        <v>515</v>
      </c>
      <c r="H19" s="35">
        <f>SUM(D19:G19)</f>
        <v>1731</v>
      </c>
      <c r="I19" s="34">
        <v>655</v>
      </c>
      <c r="J19" s="34">
        <v>640</v>
      </c>
      <c r="K19" s="34">
        <v>536</v>
      </c>
      <c r="L19" s="34">
        <v>686</v>
      </c>
      <c r="M19" s="35">
        <f>SUM(I19:L19)</f>
        <v>2517</v>
      </c>
      <c r="N19" s="34">
        <v>757</v>
      </c>
      <c r="O19" s="34">
        <v>776</v>
      </c>
      <c r="P19" s="34">
        <v>943</v>
      </c>
      <c r="Q19" s="34">
        <v>976</v>
      </c>
      <c r="R19" s="35">
        <f>SUM(N19:Q19)</f>
        <v>3452</v>
      </c>
      <c r="S19" s="134">
        <v>4064</v>
      </c>
      <c r="T19" s="134">
        <v>3224</v>
      </c>
      <c r="U19" s="34">
        <v>1348</v>
      </c>
      <c r="V19" s="34">
        <f>10465-U19-T19-S19</f>
        <v>1829</v>
      </c>
      <c r="W19" s="35">
        <f>SUM(S19:V19)</f>
        <v>10465</v>
      </c>
      <c r="X19" s="34">
        <v>1583</v>
      </c>
      <c r="Y19" s="34">
        <f>Y13*Y72</f>
        <v>2238.035502165822</v>
      </c>
      <c r="Z19" s="34">
        <f>Z13*Z72</f>
        <v>2269.528989392416</v>
      </c>
      <c r="AA19" s="34">
        <f>AA13*AA72</f>
        <v>2587.7830021246618</v>
      </c>
      <c r="AB19" s="128">
        <f>SUM(X19:AA19)</f>
        <v>8678.3474936829007</v>
      </c>
      <c r="AC19" s="34">
        <f>AC13*AC72</f>
        <v>2202.5243473212204</v>
      </c>
      <c r="AD19" s="34">
        <f>AD13*AD72</f>
        <v>2174.5488444735379</v>
      </c>
      <c r="AE19" s="34">
        <f>AE13*AE72</f>
        <v>2470.1760392672195</v>
      </c>
      <c r="AF19" s="34">
        <f>AF13*AF72</f>
        <v>3212.0430268802925</v>
      </c>
      <c r="AG19" s="128">
        <f>SUM(AC19:AF19)</f>
        <v>10059.29225794227</v>
      </c>
    </row>
    <row r="20" spans="1:33" s="39" customFormat="1" ht="17.25" customHeight="1" x14ac:dyDescent="0.45">
      <c r="A20" s="162"/>
      <c r="B20" s="90" t="s">
        <v>11</v>
      </c>
      <c r="C20" s="36"/>
      <c r="D20" s="37">
        <f t="shared" ref="D20:AG20" si="1">SUM(D17:D19)</f>
        <v>2535</v>
      </c>
      <c r="E20" s="37">
        <f t="shared" si="1"/>
        <v>2774</v>
      </c>
      <c r="F20" s="37">
        <f t="shared" si="1"/>
        <v>2902</v>
      </c>
      <c r="G20" s="37">
        <f t="shared" si="1"/>
        <v>3211</v>
      </c>
      <c r="H20" s="38">
        <f t="shared" si="1"/>
        <v>11422</v>
      </c>
      <c r="I20" s="37">
        <f t="shared" si="1"/>
        <v>3546</v>
      </c>
      <c r="J20" s="37">
        <f t="shared" si="1"/>
        <v>3683</v>
      </c>
      <c r="K20" s="37">
        <f t="shared" si="1"/>
        <v>3758</v>
      </c>
      <c r="L20" s="37">
        <f t="shared" si="1"/>
        <v>4009</v>
      </c>
      <c r="M20" s="38">
        <f t="shared" si="1"/>
        <v>14996</v>
      </c>
      <c r="N20" s="37">
        <f t="shared" si="1"/>
        <v>4590</v>
      </c>
      <c r="O20" s="37">
        <f t="shared" si="1"/>
        <v>5154</v>
      </c>
      <c r="P20" s="37">
        <f t="shared" si="1"/>
        <v>5528</v>
      </c>
      <c r="Q20" s="37">
        <f t="shared" si="1"/>
        <v>6298</v>
      </c>
      <c r="R20" s="38">
        <f t="shared" si="1"/>
        <v>21570</v>
      </c>
      <c r="S20" s="37">
        <f t="shared" si="1"/>
        <v>8944</v>
      </c>
      <c r="T20" s="154">
        <f t="shared" si="1"/>
        <v>8953</v>
      </c>
      <c r="U20" s="37">
        <f t="shared" si="1"/>
        <v>7312</v>
      </c>
      <c r="V20" s="37">
        <f t="shared" si="1"/>
        <v>8732</v>
      </c>
      <c r="W20" s="38">
        <f t="shared" si="1"/>
        <v>33941</v>
      </c>
      <c r="X20" s="37">
        <f t="shared" si="1"/>
        <v>8385</v>
      </c>
      <c r="Y20" s="37">
        <f t="shared" si="1"/>
        <v>8779.9854315736084</v>
      </c>
      <c r="Z20" s="37">
        <f t="shared" si="1"/>
        <v>8888.9885417869627</v>
      </c>
      <c r="AA20" s="37">
        <f t="shared" si="1"/>
        <v>10468.758508595223</v>
      </c>
      <c r="AB20" s="130">
        <f t="shared" si="1"/>
        <v>36522.732481955798</v>
      </c>
      <c r="AC20" s="37">
        <f t="shared" si="1"/>
        <v>9439.3900599480876</v>
      </c>
      <c r="AD20" s="37">
        <f t="shared" si="1"/>
        <v>9319.4950477437342</v>
      </c>
      <c r="AE20" s="37">
        <f t="shared" si="1"/>
        <v>10586.468739716656</v>
      </c>
      <c r="AF20" s="37">
        <f t="shared" si="1"/>
        <v>13765.898686629826</v>
      </c>
      <c r="AG20" s="130">
        <f t="shared" si="1"/>
        <v>43111.2525340383</v>
      </c>
    </row>
    <row r="21" spans="1:33" x14ac:dyDescent="0.3">
      <c r="A21" s="137"/>
      <c r="B21" s="90" t="s">
        <v>22</v>
      </c>
      <c r="C21" s="33"/>
      <c r="D21" s="40">
        <f t="shared" ref="D21:AG21" si="2">D15-D20</f>
        <v>2009</v>
      </c>
      <c r="E21" s="40">
        <f t="shared" si="2"/>
        <v>2746</v>
      </c>
      <c r="F21" s="40">
        <f t="shared" si="2"/>
        <v>3122</v>
      </c>
      <c r="G21" s="40">
        <f t="shared" si="2"/>
        <v>4550</v>
      </c>
      <c r="H21" s="41">
        <f t="shared" si="2"/>
        <v>12427</v>
      </c>
      <c r="I21" s="40">
        <f t="shared" si="2"/>
        <v>3327</v>
      </c>
      <c r="J21" s="40">
        <f t="shared" si="2"/>
        <v>4401</v>
      </c>
      <c r="K21" s="40">
        <f t="shared" si="2"/>
        <v>5122</v>
      </c>
      <c r="L21" s="40">
        <f t="shared" si="2"/>
        <v>7352</v>
      </c>
      <c r="M21" s="41">
        <f t="shared" si="2"/>
        <v>20202</v>
      </c>
      <c r="N21" s="40">
        <f t="shared" si="2"/>
        <v>5449</v>
      </c>
      <c r="O21" s="40">
        <f t="shared" si="2"/>
        <v>5863</v>
      </c>
      <c r="P21" s="40">
        <f t="shared" si="2"/>
        <v>5781</v>
      </c>
      <c r="Q21" s="40">
        <f t="shared" si="2"/>
        <v>7820</v>
      </c>
      <c r="R21" s="41">
        <f t="shared" si="2"/>
        <v>24913</v>
      </c>
      <c r="S21" s="133">
        <f t="shared" si="2"/>
        <v>3317</v>
      </c>
      <c r="T21" s="133">
        <f t="shared" si="2"/>
        <v>4626</v>
      </c>
      <c r="U21" s="133">
        <f t="shared" si="2"/>
        <v>7185</v>
      </c>
      <c r="V21" s="133">
        <f t="shared" si="2"/>
        <v>8858</v>
      </c>
      <c r="W21" s="41">
        <f t="shared" si="2"/>
        <v>23986</v>
      </c>
      <c r="X21" s="40">
        <f t="shared" si="2"/>
        <v>5893</v>
      </c>
      <c r="Y21" s="40">
        <f t="shared" si="2"/>
        <v>5121.65816841794</v>
      </c>
      <c r="Z21" s="40">
        <f t="shared" si="2"/>
        <v>6383.0502826661686</v>
      </c>
      <c r="AA21" s="40">
        <f t="shared" si="2"/>
        <v>8645.5477570982985</v>
      </c>
      <c r="AB21" s="129">
        <f t="shared" si="2"/>
        <v>26043.256208182407</v>
      </c>
      <c r="AC21" s="40">
        <f t="shared" si="2"/>
        <v>7551.5120479584693</v>
      </c>
      <c r="AD21" s="40">
        <f t="shared" si="2"/>
        <v>7455.5960381949881</v>
      </c>
      <c r="AE21" s="40">
        <f t="shared" si="2"/>
        <v>8469.174991773325</v>
      </c>
      <c r="AF21" s="40">
        <f t="shared" si="2"/>
        <v>11012.718949303864</v>
      </c>
      <c r="AG21" s="129">
        <f t="shared" si="2"/>
        <v>34489.002027230657</v>
      </c>
    </row>
    <row r="22" spans="1:33" ht="16.2" x14ac:dyDescent="0.45">
      <c r="A22" s="137"/>
      <c r="B22" s="70" t="s">
        <v>71</v>
      </c>
      <c r="C22" s="69"/>
      <c r="D22" s="34">
        <v>56</v>
      </c>
      <c r="E22" s="34">
        <v>20</v>
      </c>
      <c r="F22" s="34">
        <v>47</v>
      </c>
      <c r="G22" s="34">
        <v>-32</v>
      </c>
      <c r="H22" s="35">
        <f>SUM(D22:G22)</f>
        <v>91</v>
      </c>
      <c r="I22" s="34">
        <v>81</v>
      </c>
      <c r="J22" s="34">
        <v>87</v>
      </c>
      <c r="K22" s="34">
        <v>114</v>
      </c>
      <c r="L22" s="34">
        <v>110</v>
      </c>
      <c r="M22" s="35">
        <f>SUM(I22:L22)</f>
        <v>392</v>
      </c>
      <c r="N22" s="34">
        <v>161</v>
      </c>
      <c r="O22" s="34">
        <v>5</v>
      </c>
      <c r="P22" s="34">
        <v>131</v>
      </c>
      <c r="Q22" s="34">
        <v>151</v>
      </c>
      <c r="R22" s="35">
        <f>SUM(N22:Q22)</f>
        <v>448</v>
      </c>
      <c r="S22" s="134">
        <v>165</v>
      </c>
      <c r="T22" s="134">
        <v>206</v>
      </c>
      <c r="U22" s="134">
        <v>144</v>
      </c>
      <c r="V22" s="134">
        <f>826-U22-T22-S22</f>
        <v>311</v>
      </c>
      <c r="W22" s="35">
        <f>SUM(S22:V22)</f>
        <v>826</v>
      </c>
      <c r="X22" s="134">
        <v>-32</v>
      </c>
      <c r="Y22" s="57">
        <f>X22*1.1</f>
        <v>-35.200000000000003</v>
      </c>
      <c r="Z22" s="57">
        <f>(Y22*0.8)</f>
        <v>-28.160000000000004</v>
      </c>
      <c r="AA22" s="57">
        <f>Z22*0.7</f>
        <v>-19.712</v>
      </c>
      <c r="AB22" s="128">
        <f>SUM(X22:AA22)</f>
        <v>-115.07200000000002</v>
      </c>
      <c r="AC22" s="57">
        <f>AA22*0.6</f>
        <v>-11.827199999999999</v>
      </c>
      <c r="AD22" s="57">
        <f>T22*0.5</f>
        <v>103</v>
      </c>
      <c r="AE22" s="57">
        <f>U22*0.5</f>
        <v>72</v>
      </c>
      <c r="AF22" s="57">
        <f>V22*0.5</f>
        <v>155.5</v>
      </c>
      <c r="AG22" s="128">
        <f>SUM(AC22:AF22)</f>
        <v>318.6728</v>
      </c>
    </row>
    <row r="23" spans="1:33" x14ac:dyDescent="0.3">
      <c r="A23" s="137"/>
      <c r="B23" s="221" t="s">
        <v>23</v>
      </c>
      <c r="C23" s="222"/>
      <c r="D23" s="40">
        <f t="shared" ref="D23:AG23" si="3">D21+D22</f>
        <v>2065</v>
      </c>
      <c r="E23" s="40">
        <f t="shared" si="3"/>
        <v>2766</v>
      </c>
      <c r="F23" s="40">
        <f t="shared" si="3"/>
        <v>3169</v>
      </c>
      <c r="G23" s="40">
        <f t="shared" si="3"/>
        <v>4518</v>
      </c>
      <c r="H23" s="41">
        <f t="shared" si="3"/>
        <v>12518</v>
      </c>
      <c r="I23" s="40">
        <f t="shared" si="3"/>
        <v>3408</v>
      </c>
      <c r="J23" s="40">
        <f t="shared" si="3"/>
        <v>4488</v>
      </c>
      <c r="K23" s="40">
        <f t="shared" si="3"/>
        <v>5236</v>
      </c>
      <c r="L23" s="40">
        <f t="shared" si="3"/>
        <v>7462</v>
      </c>
      <c r="M23" s="41">
        <f t="shared" si="3"/>
        <v>20594</v>
      </c>
      <c r="N23" s="40">
        <f t="shared" si="3"/>
        <v>5610</v>
      </c>
      <c r="O23" s="40">
        <f t="shared" si="3"/>
        <v>5868</v>
      </c>
      <c r="P23" s="40">
        <f t="shared" si="3"/>
        <v>5912</v>
      </c>
      <c r="Q23" s="40">
        <f t="shared" si="3"/>
        <v>7971</v>
      </c>
      <c r="R23" s="41">
        <f t="shared" si="3"/>
        <v>25361</v>
      </c>
      <c r="S23" s="133">
        <f t="shared" si="3"/>
        <v>3482</v>
      </c>
      <c r="T23" s="133">
        <f t="shared" si="3"/>
        <v>4832</v>
      </c>
      <c r="U23" s="40">
        <f t="shared" si="3"/>
        <v>7329</v>
      </c>
      <c r="V23" s="40">
        <f>V21+V22</f>
        <v>9169</v>
      </c>
      <c r="W23" s="41">
        <f t="shared" si="3"/>
        <v>24812</v>
      </c>
      <c r="X23" s="133">
        <f t="shared" si="3"/>
        <v>5861</v>
      </c>
      <c r="Y23" s="40">
        <f t="shared" si="3"/>
        <v>5086.4581684179402</v>
      </c>
      <c r="Z23" s="40">
        <f t="shared" si="3"/>
        <v>6354.8902826661688</v>
      </c>
      <c r="AA23" s="40">
        <f t="shared" si="3"/>
        <v>8625.8357570982989</v>
      </c>
      <c r="AB23" s="129">
        <f t="shared" si="3"/>
        <v>25928.184208182407</v>
      </c>
      <c r="AC23" s="40">
        <f t="shared" si="3"/>
        <v>7539.6848479584696</v>
      </c>
      <c r="AD23" s="40">
        <f t="shared" si="3"/>
        <v>7558.5960381949881</v>
      </c>
      <c r="AE23" s="40">
        <f t="shared" si="3"/>
        <v>8541.174991773325</v>
      </c>
      <c r="AF23" s="40">
        <f t="shared" si="3"/>
        <v>11168.218949303864</v>
      </c>
      <c r="AG23" s="129">
        <f t="shared" si="3"/>
        <v>34807.674827230658</v>
      </c>
    </row>
    <row r="24" spans="1:33" ht="16.2" x14ac:dyDescent="0.45">
      <c r="A24" s="137"/>
      <c r="B24" s="213" t="s">
        <v>7</v>
      </c>
      <c r="C24" s="214"/>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4">
        <v>-1053</v>
      </c>
      <c r="T24" s="134">
        <v>-2216</v>
      </c>
      <c r="U24" s="34">
        <v>-1238</v>
      </c>
      <c r="V24" s="34">
        <f>-6327-U24-T24-S24</f>
        <v>-1820</v>
      </c>
      <c r="W24" s="35">
        <f>SUM(S24:V24)</f>
        <v>-6327</v>
      </c>
      <c r="X24" s="134">
        <v>-959</v>
      </c>
      <c r="Y24" s="34">
        <f>+Y23*-Y76</f>
        <v>-915.56247031522923</v>
      </c>
      <c r="Z24" s="34">
        <f>+Z23*-Z76</f>
        <v>-1143.8802508799104</v>
      </c>
      <c r="AA24" s="34">
        <f>+AA23*-AA76</f>
        <v>-1552.6504362776936</v>
      </c>
      <c r="AB24" s="128">
        <f>SUM(X24:AA24)</f>
        <v>-4571.0931574728329</v>
      </c>
      <c r="AC24" s="34">
        <f>+AC23*-AC76</f>
        <v>-1326.2757179615189</v>
      </c>
      <c r="AD24" s="34">
        <f>+AD23*-AD76</f>
        <v>-1371.4643008150542</v>
      </c>
      <c r="AE24" s="34">
        <f>+AE23*-AE76</f>
        <v>-1552.8317111449323</v>
      </c>
      <c r="AF24" s="34">
        <f>+AF23*-AF76</f>
        <v>-2035.4832486099733</v>
      </c>
      <c r="AG24" s="128">
        <f>SUM(AC24:AF24)</f>
        <v>-6286.0549785314788</v>
      </c>
    </row>
    <row r="25" spans="1:33" x14ac:dyDescent="0.3">
      <c r="A25" s="144"/>
      <c r="B25" s="221" t="s">
        <v>8</v>
      </c>
      <c r="C25" s="222"/>
      <c r="D25" s="40">
        <f t="shared" ref="D25:AG25" si="4">+D23+D24</f>
        <v>1510</v>
      </c>
      <c r="E25" s="40">
        <f t="shared" si="4"/>
        <v>2055</v>
      </c>
      <c r="F25" s="40">
        <f t="shared" si="4"/>
        <v>2379</v>
      </c>
      <c r="G25" s="40">
        <f t="shared" si="4"/>
        <v>4273</v>
      </c>
      <c r="H25" s="41">
        <f t="shared" si="4"/>
        <v>10217</v>
      </c>
      <c r="I25" s="40">
        <f t="shared" si="4"/>
        <v>3064</v>
      </c>
      <c r="J25" s="40">
        <f t="shared" si="4"/>
        <v>3894</v>
      </c>
      <c r="K25" s="40">
        <f t="shared" si="4"/>
        <v>4707</v>
      </c>
      <c r="L25" s="40">
        <f t="shared" si="4"/>
        <v>4268</v>
      </c>
      <c r="M25" s="41">
        <f t="shared" si="4"/>
        <v>15933</v>
      </c>
      <c r="N25" s="40">
        <f t="shared" si="4"/>
        <v>4988</v>
      </c>
      <c r="O25" s="40">
        <f t="shared" si="4"/>
        <v>5106</v>
      </c>
      <c r="P25" s="40">
        <f t="shared" si="4"/>
        <v>5137</v>
      </c>
      <c r="Q25" s="40">
        <f t="shared" si="4"/>
        <v>6882</v>
      </c>
      <c r="R25" s="41">
        <f t="shared" si="4"/>
        <v>22113</v>
      </c>
      <c r="S25" s="133">
        <f t="shared" si="4"/>
        <v>2429</v>
      </c>
      <c r="T25" s="133">
        <f t="shared" si="4"/>
        <v>2616</v>
      </c>
      <c r="U25" s="40">
        <f t="shared" si="4"/>
        <v>6091</v>
      </c>
      <c r="V25" s="40">
        <f t="shared" si="4"/>
        <v>7349</v>
      </c>
      <c r="W25" s="41">
        <f t="shared" si="4"/>
        <v>18485</v>
      </c>
      <c r="X25" s="133">
        <f t="shared" si="4"/>
        <v>4902</v>
      </c>
      <c r="Y25" s="40">
        <f t="shared" si="4"/>
        <v>4170.8956981027113</v>
      </c>
      <c r="Z25" s="40">
        <f t="shared" si="4"/>
        <v>5211.010031786258</v>
      </c>
      <c r="AA25" s="40">
        <f t="shared" si="4"/>
        <v>7073.1853208206048</v>
      </c>
      <c r="AB25" s="129">
        <f t="shared" si="4"/>
        <v>21357.091050709576</v>
      </c>
      <c r="AC25" s="40">
        <f t="shared" si="4"/>
        <v>6213.4091299969505</v>
      </c>
      <c r="AD25" s="40">
        <f t="shared" si="4"/>
        <v>6187.1317373799338</v>
      </c>
      <c r="AE25" s="40">
        <f t="shared" si="4"/>
        <v>6988.3432806283927</v>
      </c>
      <c r="AF25" s="40">
        <f t="shared" si="4"/>
        <v>9132.735700693891</v>
      </c>
      <c r="AG25" s="129">
        <f t="shared" si="4"/>
        <v>28521.619848699178</v>
      </c>
    </row>
    <row r="26" spans="1:33" ht="16.2" x14ac:dyDescent="0.45">
      <c r="A26" s="144"/>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4">
        <v>0</v>
      </c>
      <c r="T26" s="134">
        <v>0</v>
      </c>
      <c r="U26" s="134">
        <v>0</v>
      </c>
      <c r="V26" s="134">
        <f>0-U26-T26-S26</f>
        <v>0</v>
      </c>
      <c r="W26" s="35">
        <f>SUM(S26:V26)</f>
        <v>0</v>
      </c>
      <c r="X26" s="134">
        <v>0</v>
      </c>
      <c r="Y26" s="134">
        <v>0</v>
      </c>
      <c r="Z26" s="134">
        <v>0</v>
      </c>
      <c r="AA26" s="134">
        <v>0</v>
      </c>
      <c r="AB26" s="128">
        <f>SUM(X26:AA26)</f>
        <v>0</v>
      </c>
      <c r="AC26" s="134">
        <v>0</v>
      </c>
      <c r="AD26" s="134">
        <v>0</v>
      </c>
      <c r="AE26" s="134">
        <v>0</v>
      </c>
      <c r="AF26" s="134">
        <v>0</v>
      </c>
      <c r="AG26" s="128">
        <f>SUM(AC26:AF26)</f>
        <v>0</v>
      </c>
    </row>
    <row r="27" spans="1:33" s="21" customFormat="1" x14ac:dyDescent="0.3">
      <c r="A27" s="162"/>
      <c r="B27" s="78" t="s">
        <v>73</v>
      </c>
      <c r="C27" s="74"/>
      <c r="D27" s="40">
        <f t="shared" ref="D27:AG27" si="5">+D25-D26</f>
        <v>1505</v>
      </c>
      <c r="E27" s="40">
        <f t="shared" si="5"/>
        <v>2048</v>
      </c>
      <c r="F27" s="40">
        <f t="shared" si="5"/>
        <v>2373</v>
      </c>
      <c r="G27" s="40">
        <f t="shared" si="5"/>
        <v>4266</v>
      </c>
      <c r="H27" s="41">
        <f t="shared" si="5"/>
        <v>10192</v>
      </c>
      <c r="I27" s="40">
        <f t="shared" si="5"/>
        <v>3059</v>
      </c>
      <c r="J27" s="40">
        <f t="shared" si="5"/>
        <v>3890</v>
      </c>
      <c r="K27" s="40">
        <f t="shared" si="5"/>
        <v>4704</v>
      </c>
      <c r="L27" s="40">
        <f t="shared" si="5"/>
        <v>4266</v>
      </c>
      <c r="M27" s="41">
        <f t="shared" si="5"/>
        <v>15919</v>
      </c>
      <c r="N27" s="40">
        <f t="shared" si="5"/>
        <v>4987</v>
      </c>
      <c r="O27" s="40">
        <f t="shared" si="5"/>
        <v>5106</v>
      </c>
      <c r="P27" s="40">
        <f t="shared" si="5"/>
        <v>5137</v>
      </c>
      <c r="Q27" s="40">
        <f t="shared" si="5"/>
        <v>6882</v>
      </c>
      <c r="R27" s="41">
        <f t="shared" si="5"/>
        <v>22112</v>
      </c>
      <c r="S27" s="133">
        <f t="shared" si="5"/>
        <v>2429</v>
      </c>
      <c r="T27" s="133">
        <f t="shared" si="5"/>
        <v>2616</v>
      </c>
      <c r="U27" s="40">
        <f t="shared" si="5"/>
        <v>6091</v>
      </c>
      <c r="V27" s="40">
        <f t="shared" si="5"/>
        <v>7349</v>
      </c>
      <c r="W27" s="41">
        <f t="shared" si="5"/>
        <v>18485</v>
      </c>
      <c r="X27" s="40">
        <f t="shared" si="5"/>
        <v>4902</v>
      </c>
      <c r="Y27" s="40">
        <f t="shared" si="5"/>
        <v>4170.8956981027113</v>
      </c>
      <c r="Z27" s="40">
        <f t="shared" si="5"/>
        <v>5211.010031786258</v>
      </c>
      <c r="AA27" s="40">
        <f t="shared" si="5"/>
        <v>7073.1853208206048</v>
      </c>
      <c r="AB27" s="129">
        <f t="shared" si="5"/>
        <v>21357.091050709576</v>
      </c>
      <c r="AC27" s="40">
        <f t="shared" si="5"/>
        <v>6213.4091299969505</v>
      </c>
      <c r="AD27" s="40">
        <f t="shared" si="5"/>
        <v>6187.1317373799338</v>
      </c>
      <c r="AE27" s="40">
        <f t="shared" si="5"/>
        <v>6988.3432806283927</v>
      </c>
      <c r="AF27" s="40">
        <f t="shared" si="5"/>
        <v>9132.735700693891</v>
      </c>
      <c r="AG27" s="129">
        <f t="shared" si="5"/>
        <v>28521.619848699178</v>
      </c>
    </row>
    <row r="28" spans="1:33" x14ac:dyDescent="0.3">
      <c r="A28" s="137"/>
      <c r="B28" s="213" t="s">
        <v>0</v>
      </c>
      <c r="C28" s="214"/>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2">
        <v>2856</v>
      </c>
      <c r="T28" s="132">
        <v>2855</v>
      </c>
      <c r="U28" s="29">
        <v>2854</v>
      </c>
      <c r="V28" s="29">
        <v>2854</v>
      </c>
      <c r="W28" s="30">
        <f>(S28*S25/W25)+(T28*T25/W25)+(U28*U25/W25)+(V28*V25/W25)</f>
        <v>2854.4043278333784</v>
      </c>
      <c r="X28" s="29">
        <v>2851</v>
      </c>
      <c r="Y28" s="29">
        <f>X28*(1+Y78)-Y82</f>
        <v>2845.1205350905793</v>
      </c>
      <c r="Z28" s="29">
        <f>Y28*(1+Z78)-Z82</f>
        <v>2843.6099573314532</v>
      </c>
      <c r="AA28" s="29">
        <f>Z28*(1+AA78)-AA82</f>
        <v>2841.7095197567514</v>
      </c>
      <c r="AB28" s="127">
        <f>(X28*X25/AB25)+(Y28*Y25/AB25)+(Z28*Z25/AB25)+(AA28*AA25/AB25)</f>
        <v>2844.971767524275</v>
      </c>
      <c r="AC28" s="29">
        <f>AA28*(1+AC78)-AC82</f>
        <v>2839.0726852971179</v>
      </c>
      <c r="AD28" s="29">
        <f>AC28*(1+AD78)-AD82</f>
        <v>2836.3011719973592</v>
      </c>
      <c r="AE28" s="29">
        <f>AD28*(1+AE78)-AE82</f>
        <v>2834.087380084633</v>
      </c>
      <c r="AF28" s="29">
        <f>AE28*(1+AF78)-AF82</f>
        <v>2831.6981367732269</v>
      </c>
      <c r="AG28" s="127">
        <f>(AC28*AC25/AG25)+(AD28*AD25/AG25)+(AE28*AE25/AG25)+(AF28*AF25/AG25)</f>
        <v>2834.8886121170258</v>
      </c>
    </row>
    <row r="29" spans="1:33" ht="15.75" customHeight="1" x14ac:dyDescent="0.3">
      <c r="A29" s="137"/>
      <c r="B29" s="213" t="s">
        <v>1</v>
      </c>
      <c r="C29" s="214"/>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2">
        <v>2869</v>
      </c>
      <c r="T29" s="132">
        <v>2875</v>
      </c>
      <c r="U29" s="29">
        <v>2874</v>
      </c>
      <c r="V29" s="29">
        <v>2880</v>
      </c>
      <c r="W29" s="30">
        <f>(S29*S25/W25)+(T29*T25/W25)+(U29*U25/W25)+(V29*V25/W25)</f>
        <v>2875.8698945090614</v>
      </c>
      <c r="X29" s="29">
        <v>2868</v>
      </c>
      <c r="Y29" s="29">
        <f>X29*(1+Y79)-Y82</f>
        <v>2865.0055350905795</v>
      </c>
      <c r="Z29" s="29">
        <f>Y29*(1+Z79)-Z82</f>
        <v>2864.7558593278804</v>
      </c>
      <c r="AA29" s="29">
        <f>Z29*(1+AA79)-AA82</f>
        <v>2864.2614664184794</v>
      </c>
      <c r="AB29" s="127">
        <f>(X29*X25/AB25)+(Y29*Y25/AB25)+(Z29*Z25/AB25)+(AA29*AA25/AB25)</f>
        <v>2865.3854964089728</v>
      </c>
      <c r="AC29" s="29">
        <f>AA29*(1+AC79)-AC82</f>
        <v>2860.7758546935152</v>
      </c>
      <c r="AD29" s="29">
        <f>AC29*(1+AD79)-AD82</f>
        <v>2859.1794871329721</v>
      </c>
      <c r="AE29" s="29">
        <f>AD29*(1+AE79)-AE82</f>
        <v>2857.7152978910531</v>
      </c>
      <c r="AF29" s="29">
        <f>AE29*(1+AF79)-AF82</f>
        <v>2855.9480338948465</v>
      </c>
      <c r="AG29" s="127">
        <f>(AC29*AC25/AG25)+(AD29*AD25/AG25)+(AE29*AE25/AG25)+(AF29*AF25/AG25)</f>
        <v>2858.1337758169243</v>
      </c>
    </row>
    <row r="30" spans="1:33" ht="15.75" customHeight="1" x14ac:dyDescent="0.3">
      <c r="A30" s="137"/>
      <c r="B30" s="225" t="s">
        <v>9</v>
      </c>
      <c r="C30" s="226"/>
      <c r="D30" s="43">
        <f t="shared" ref="D30:AG30" si="6">D25/D28</f>
        <v>0.53112908899050304</v>
      </c>
      <c r="E30" s="43">
        <f t="shared" si="6"/>
        <v>0.71953781512605042</v>
      </c>
      <c r="F30" s="43">
        <f t="shared" si="6"/>
        <v>0.82863113897596652</v>
      </c>
      <c r="G30" s="43">
        <f t="shared" si="6"/>
        <v>1.4826509368494101</v>
      </c>
      <c r="H30" s="44">
        <f t="shared" si="6"/>
        <v>3.5680112997384774</v>
      </c>
      <c r="I30" s="43">
        <f t="shared" si="6"/>
        <v>1.0598408855067452</v>
      </c>
      <c r="J30" s="43">
        <f t="shared" si="6"/>
        <v>1.3427586206896551</v>
      </c>
      <c r="K30" s="43">
        <f t="shared" si="6"/>
        <v>1.6208677685950412</v>
      </c>
      <c r="L30" s="43">
        <f t="shared" si="6"/>
        <v>1.4681802545579636</v>
      </c>
      <c r="M30" s="44">
        <f t="shared" si="6"/>
        <v>5.4922440537745603</v>
      </c>
      <c r="N30" s="43">
        <f t="shared" si="6"/>
        <v>1.7164487267721955</v>
      </c>
      <c r="O30" s="43">
        <f t="shared" si="6"/>
        <v>1.7637305699481864</v>
      </c>
      <c r="P30" s="43">
        <f t="shared" si="6"/>
        <v>1.7805892547660311</v>
      </c>
      <c r="Q30" s="43">
        <f t="shared" si="6"/>
        <v>2.3962395543175488</v>
      </c>
      <c r="R30" s="44">
        <f t="shared" si="6"/>
        <v>7.6515570934256054</v>
      </c>
      <c r="S30" s="135">
        <f t="shared" si="6"/>
        <v>0.85049019607843135</v>
      </c>
      <c r="T30" s="135">
        <f t="shared" si="6"/>
        <v>0.91628721541155866</v>
      </c>
      <c r="U30" s="43">
        <f t="shared" si="6"/>
        <v>2.1341976173791171</v>
      </c>
      <c r="V30" s="43">
        <f t="shared" si="6"/>
        <v>2.5749824807288015</v>
      </c>
      <c r="W30" s="44">
        <f t="shared" si="6"/>
        <v>6.4759571094228789</v>
      </c>
      <c r="X30" s="43">
        <f t="shared" si="6"/>
        <v>1.7193967029112591</v>
      </c>
      <c r="Y30" s="43">
        <f t="shared" si="6"/>
        <v>1.465982072344757</v>
      </c>
      <c r="Z30" s="43">
        <f t="shared" si="6"/>
        <v>1.8325333326221922</v>
      </c>
      <c r="AA30" s="43">
        <f t="shared" si="6"/>
        <v>2.4890599379158447</v>
      </c>
      <c r="AB30" s="131">
        <f t="shared" si="6"/>
        <v>7.506960629452835</v>
      </c>
      <c r="AC30" s="43">
        <f t="shared" si="6"/>
        <v>2.1885347149351682</v>
      </c>
      <c r="AD30" s="43">
        <f t="shared" si="6"/>
        <v>2.1814085889274155</v>
      </c>
      <c r="AE30" s="43">
        <f t="shared" si="6"/>
        <v>2.465817860711021</v>
      </c>
      <c r="AF30" s="43">
        <f t="shared" si="6"/>
        <v>3.2251798248173493</v>
      </c>
      <c r="AG30" s="131">
        <f t="shared" si="6"/>
        <v>10.060931398429769</v>
      </c>
    </row>
    <row r="31" spans="1:33" x14ac:dyDescent="0.3">
      <c r="A31" s="137"/>
      <c r="B31" s="223" t="s">
        <v>10</v>
      </c>
      <c r="C31" s="224"/>
      <c r="D31" s="107">
        <f t="shared" ref="D31:AG31" si="7">D25/D29</f>
        <v>0.52285318559556782</v>
      </c>
      <c r="E31" s="107">
        <f t="shared" si="7"/>
        <v>0.7076446280991735</v>
      </c>
      <c r="F31" s="107">
        <f t="shared" si="7"/>
        <v>0.81612349914236704</v>
      </c>
      <c r="G31" s="107">
        <f t="shared" si="7"/>
        <v>1.4543907420013615</v>
      </c>
      <c r="H31" s="108">
        <f t="shared" si="7"/>
        <v>3.4929914529914532</v>
      </c>
      <c r="I31" s="107">
        <f t="shared" si="7"/>
        <v>1.0407608695652173</v>
      </c>
      <c r="J31" s="107">
        <f t="shared" si="7"/>
        <v>1.3195526940020332</v>
      </c>
      <c r="K31" s="107">
        <f t="shared" si="7"/>
        <v>1.5923545331529094</v>
      </c>
      <c r="L31" s="107">
        <f t="shared" si="7"/>
        <v>1.4448205822613405</v>
      </c>
      <c r="M31" s="108">
        <f t="shared" si="7"/>
        <v>5.3900541271989173</v>
      </c>
      <c r="N31" s="107">
        <f t="shared" si="7"/>
        <v>1.6937181663837011</v>
      </c>
      <c r="O31" s="107">
        <f t="shared" si="7"/>
        <v>1.7426621160409557</v>
      </c>
      <c r="P31" s="107">
        <f t="shared" si="7"/>
        <v>1.7634740817027119</v>
      </c>
      <c r="Q31" s="107">
        <f t="shared" si="7"/>
        <v>2.3846153846153846</v>
      </c>
      <c r="R31" s="108">
        <f t="shared" si="7"/>
        <v>7.5703526189661074</v>
      </c>
      <c r="S31" s="136">
        <f t="shared" si="7"/>
        <v>0.84663645869640991</v>
      </c>
      <c r="T31" s="136">
        <f t="shared" si="7"/>
        <v>0.90991304347826085</v>
      </c>
      <c r="U31" s="136">
        <f t="shared" si="7"/>
        <v>2.1193458594293668</v>
      </c>
      <c r="V31" s="136">
        <f t="shared" si="7"/>
        <v>2.551736111111111</v>
      </c>
      <c r="W31" s="157">
        <f t="shared" si="7"/>
        <v>6.4276203994115555</v>
      </c>
      <c r="X31" s="136">
        <f t="shared" si="7"/>
        <v>1.7092050209205021</v>
      </c>
      <c r="Y31" s="136">
        <f t="shared" si="7"/>
        <v>1.4558072042156962</v>
      </c>
      <c r="Z31" s="136">
        <f t="shared" si="7"/>
        <v>1.8190066754968948</v>
      </c>
      <c r="AA31" s="136">
        <f t="shared" si="7"/>
        <v>2.4694621645924784</v>
      </c>
      <c r="AB31" s="157">
        <f t="shared" si="7"/>
        <v>7.4534791487830248</v>
      </c>
      <c r="AC31" s="136">
        <f t="shared" si="7"/>
        <v>2.1719314778901526</v>
      </c>
      <c r="AD31" s="136">
        <f t="shared" si="7"/>
        <v>2.1639535976050421</v>
      </c>
      <c r="AE31" s="136">
        <f t="shared" si="7"/>
        <v>2.4454301958580951</v>
      </c>
      <c r="AF31" s="136">
        <f t="shared" si="7"/>
        <v>3.1977947750817339</v>
      </c>
      <c r="AG31" s="157">
        <f t="shared" si="7"/>
        <v>9.9791059781822149</v>
      </c>
    </row>
    <row r="32" spans="1:33" x14ac:dyDescent="0.3">
      <c r="B32" s="46"/>
      <c r="C32" s="126" t="s">
        <v>15</v>
      </c>
      <c r="D32" s="50"/>
      <c r="E32" s="50"/>
      <c r="F32" s="50"/>
      <c r="G32" s="50"/>
      <c r="H32" s="16"/>
      <c r="I32" s="50"/>
      <c r="J32" s="50"/>
      <c r="K32" s="50"/>
      <c r="L32" s="50"/>
      <c r="M32" s="16"/>
      <c r="N32" s="50"/>
      <c r="O32" s="50"/>
      <c r="P32" s="50"/>
      <c r="Q32" s="50"/>
      <c r="R32" s="16"/>
      <c r="S32" s="83"/>
      <c r="T32" s="155"/>
      <c r="U32" s="149"/>
      <c r="V32" s="149"/>
      <c r="W32" s="149"/>
      <c r="X32" s="149"/>
      <c r="Y32" s="149"/>
      <c r="Z32" s="50"/>
      <c r="AA32" s="149"/>
      <c r="AB32" s="16"/>
      <c r="AC32" s="50"/>
      <c r="AD32" s="50"/>
      <c r="AE32" s="50"/>
      <c r="AF32" s="149"/>
      <c r="AG32" s="16"/>
    </row>
    <row r="33" spans="1:33" ht="15.6" x14ac:dyDescent="0.3">
      <c r="A33" s="137"/>
      <c r="B33" s="208" t="s">
        <v>25</v>
      </c>
      <c r="C33" s="209"/>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7"/>
      <c r="B34" s="215"/>
      <c r="C34" s="216"/>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7"/>
      <c r="B35" s="208" t="s">
        <v>146</v>
      </c>
      <c r="C35" s="209"/>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7"/>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8206.6788103797298</v>
      </c>
      <c r="Z36" s="64">
        <f>+((Z42+Y42)/2)*Z52</f>
        <v>9027.3044395201086</v>
      </c>
      <c r="AA36" s="64">
        <f>+((AA42+Z42)/2)*AA52</f>
        <v>11417.531458920721</v>
      </c>
      <c r="AB36" s="19"/>
      <c r="AC36" s="64">
        <f>+((AC42+AA42)/2)*AC52</f>
        <v>10034.93355112208</v>
      </c>
      <c r="AD36" s="64">
        <f>+((AD42+AC42)/2)*AD52</f>
        <v>9814.993418193284</v>
      </c>
      <c r="AE36" s="64">
        <f>+((AE42+AD42)/2)*AE52</f>
        <v>11062.549162038733</v>
      </c>
      <c r="AF36" s="64">
        <f>+((AF42+AE42)/2)*AF52</f>
        <v>14736.406289207729</v>
      </c>
      <c r="AG36" s="19"/>
    </row>
    <row r="37" spans="1:33" outlineLevel="1" x14ac:dyDescent="0.3">
      <c r="A37" s="137"/>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4169.9172331902219</v>
      </c>
      <c r="Z37" s="64">
        <f>+((Z44+Y44)/2)*Z54</f>
        <v>4329.8524237751399</v>
      </c>
      <c r="AA37" s="64">
        <f>+((AA44+Z44)/2)*AA54</f>
        <v>5643.8895821362275</v>
      </c>
      <c r="AB37" s="19"/>
      <c r="AC37" s="64">
        <f>+((AC44+AA44)/2)*AC54</f>
        <v>4969.5482179157689</v>
      </c>
      <c r="AD37" s="64">
        <f>+((AD44+AC44)/2)*AD54</f>
        <v>4940.3846642252793</v>
      </c>
      <c r="AE37" s="64">
        <f>+((AE44+AD44)/2)*AE54</f>
        <v>5351.6205398412167</v>
      </c>
      <c r="AF37" s="64">
        <f>+((AF44+AE44)/2)*AF54</f>
        <v>7244.0004785632418</v>
      </c>
      <c r="AG37" s="19"/>
    </row>
    <row r="38" spans="1:33" outlineLevel="1" x14ac:dyDescent="0.3">
      <c r="A38" s="137"/>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3162.6513575358704</v>
      </c>
      <c r="Z38" s="64">
        <f>+((Z46+Y46)/2)*Z56</f>
        <v>3641.8561116451492</v>
      </c>
      <c r="AA38" s="64">
        <f>+((AA46+Z46)/2)*AA56</f>
        <v>4231.0774703998059</v>
      </c>
      <c r="AB38" s="19"/>
      <c r="AC38" s="64">
        <f>+((AC46+AA46)/2)*AC56</f>
        <v>4001.5068542781901</v>
      </c>
      <c r="AD38" s="64">
        <f>+((AD46+AC46)/2)*AD56</f>
        <v>3932.9283285478823</v>
      </c>
      <c r="AE38" s="64">
        <f>+((AE46+AD46)/2)*AE56</f>
        <v>4744.0888711086582</v>
      </c>
      <c r="AF38" s="64">
        <f>+((AF46+AE46)/2)*AF56</f>
        <v>5719.631267634396</v>
      </c>
      <c r="AG38" s="19"/>
    </row>
    <row r="39" spans="1:33" ht="16.2" outlineLevel="1" x14ac:dyDescent="0.45">
      <c r="A39" s="137"/>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1676.4103078620399</v>
      </c>
      <c r="Z39" s="99">
        <f>+((Z48+Y48)/2)*Z58</f>
        <v>1913.7286033297335</v>
      </c>
      <c r="AA39" s="99">
        <f>+((AA48+Z48)/2)*AA58</f>
        <v>2232.8015078583489</v>
      </c>
      <c r="AB39" s="19"/>
      <c r="AC39" s="99">
        <f>+((AC48+AA48)/2)*AC58</f>
        <v>1970.433732124159</v>
      </c>
      <c r="AD39" s="99">
        <f>+((AD48+AC48)/2)*AD58</f>
        <v>2021.682584019632</v>
      </c>
      <c r="AE39" s="99">
        <f>+((AE48+AD48)/2)*AE58</f>
        <v>2367.2275152706256</v>
      </c>
      <c r="AF39" s="99">
        <f>+((AF48+AE48)/2)*AF58</f>
        <v>2890.8479348831361</v>
      </c>
      <c r="AG39" s="19"/>
    </row>
    <row r="40" spans="1:33" s="92" customFormat="1" outlineLevel="1" x14ac:dyDescent="0.3">
      <c r="A40" s="138"/>
      <c r="B40" s="90" t="s">
        <v>20</v>
      </c>
      <c r="C40" s="72"/>
      <c r="D40" s="100">
        <f>SUM(D36:D39)</f>
        <v>5382</v>
      </c>
      <c r="E40" s="100">
        <f>SUM(E36:E39)</f>
        <v>6436</v>
      </c>
      <c r="F40" s="100">
        <f>SUM(F36:F39)</f>
        <v>7011</v>
      </c>
      <c r="G40" s="100">
        <f>SUM(G36:G39)</f>
        <v>8809</v>
      </c>
      <c r="H40" s="91"/>
      <c r="I40" s="100">
        <f>SUM(I36:I39)</f>
        <v>8032</v>
      </c>
      <c r="J40" s="100">
        <f>SUM(J36:J39)</f>
        <v>9321</v>
      </c>
      <c r="K40" s="100">
        <f>SUM(K36:K39)</f>
        <v>10328</v>
      </c>
      <c r="L40" s="100">
        <f>SUM(L36:L39)</f>
        <v>12972</v>
      </c>
      <c r="M40" s="91"/>
      <c r="N40" s="100">
        <f>SUM(N36:N39)</f>
        <v>11966</v>
      </c>
      <c r="O40" s="100">
        <f>SUM(O36:O39)</f>
        <v>13231</v>
      </c>
      <c r="P40" s="100">
        <f>SUM(P36:P39)</f>
        <v>13727</v>
      </c>
      <c r="Q40" s="100">
        <f>SUM(Q36:Q39)</f>
        <v>16914</v>
      </c>
      <c r="R40" s="91"/>
      <c r="S40" s="100">
        <f>SUM(S36:S39)</f>
        <v>15077</v>
      </c>
      <c r="T40" s="100">
        <f>SUM(T36:T39)</f>
        <v>16886</v>
      </c>
      <c r="U40" s="100">
        <f>SUM(U36:U39)</f>
        <v>17652</v>
      </c>
      <c r="V40" s="100">
        <f>SUM(V36:V39)</f>
        <v>21082</v>
      </c>
      <c r="W40" s="91"/>
      <c r="X40" s="100">
        <f>SUM(X36:X39)</f>
        <v>17737</v>
      </c>
      <c r="Y40" s="100">
        <f>SUM(Y36:Y39)</f>
        <v>17215.657708967861</v>
      </c>
      <c r="Z40" s="100">
        <f>SUM(Z36:Z39)</f>
        <v>18912.741578270132</v>
      </c>
      <c r="AA40" s="100">
        <f>SUM(AA36:AA39)</f>
        <v>23525.300019315106</v>
      </c>
      <c r="AB40" s="91"/>
      <c r="AC40" s="100">
        <f>SUM(AC36:AC39)</f>
        <v>20976.422355440194</v>
      </c>
      <c r="AD40" s="100">
        <f>SUM(AD36:AD39)</f>
        <v>20709.988994986077</v>
      </c>
      <c r="AE40" s="100">
        <f>SUM(AE36:AE39)</f>
        <v>23525.486088259233</v>
      </c>
      <c r="AF40" s="100">
        <f>SUM(AF36:AF39)</f>
        <v>30590.885970288502</v>
      </c>
      <c r="AG40" s="91"/>
    </row>
    <row r="41" spans="1:33" ht="17.399999999999999" x14ac:dyDescent="0.45">
      <c r="A41" s="137"/>
      <c r="B41" s="211" t="s">
        <v>86</v>
      </c>
      <c r="C41" s="212"/>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7"/>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T42*(1+Y43)</f>
        <v>248.32282172578715</v>
      </c>
      <c r="Z42" s="29">
        <f>U42*(1+Z43)</f>
        <v>251.36915956235165</v>
      </c>
      <c r="AA42" s="29">
        <f>V42*(1+AA43)</f>
        <v>252.75470555332231</v>
      </c>
      <c r="AB42" s="19"/>
      <c r="AC42" s="29">
        <f>X42*(1+AC43)</f>
        <v>256.02745653090921</v>
      </c>
      <c r="AD42" s="29">
        <f>Y42*(1+AD43)</f>
        <v>252.35063175580157</v>
      </c>
      <c r="AE42" s="29">
        <f>Z42*(1+AE43)</f>
        <v>255.66127298627896</v>
      </c>
      <c r="AF42" s="29">
        <f>AA42*(1+AF43)</f>
        <v>257.43688799507555</v>
      </c>
      <c r="AG42" s="19"/>
    </row>
    <row r="43" spans="1:33" ht="15.6" outlineLevel="1" x14ac:dyDescent="0.3">
      <c r="A43" s="137"/>
      <c r="B43" s="47" t="s">
        <v>82</v>
      </c>
      <c r="C43" s="93"/>
      <c r="D43" s="29"/>
      <c r="E43" s="29"/>
      <c r="F43" s="55"/>
      <c r="G43" s="55"/>
      <c r="H43" s="55"/>
      <c r="I43" s="55">
        <f>+I42/D42-1</f>
        <v>5.4054054054053946E-2</v>
      </c>
      <c r="J43" s="55">
        <f>+J42/E42-1</f>
        <v>4.4247787610619538E-2</v>
      </c>
      <c r="K43" s="55">
        <f>+K42/F42-1</f>
        <v>4.366812227074246E-2</v>
      </c>
      <c r="L43" s="55">
        <f>+L42/G42-1</f>
        <v>3.463203463203457E-2</v>
      </c>
      <c r="M43" s="55"/>
      <c r="N43" s="55">
        <f>+N42/I42-1</f>
        <v>2.9914529914529808E-2</v>
      </c>
      <c r="O43" s="55">
        <f>+O42/J42-1</f>
        <v>2.1186440677966045E-2</v>
      </c>
      <c r="P43" s="55">
        <f>+P42/K42-1</f>
        <v>1.2552301255230214E-2</v>
      </c>
      <c r="Q43" s="55">
        <f>+Q42/L42-1</f>
        <v>1.2552301255230214E-2</v>
      </c>
      <c r="R43" s="19"/>
      <c r="S43" s="201">
        <f>+S42/N42-1</f>
        <v>8.2987551867219622E-3</v>
      </c>
      <c r="T43" s="202">
        <f>+T42/O42-1</f>
        <v>1.2448132780082943E-2</v>
      </c>
      <c r="U43" s="202">
        <f>+U42/P42-1</f>
        <v>2.0661157024793431E-2</v>
      </c>
      <c r="V43" s="202">
        <f>+V42/Q42-1</f>
        <v>2.4793388429751984E-2</v>
      </c>
      <c r="W43" s="203"/>
      <c r="X43" s="201">
        <f>+X42/S42-1</f>
        <v>4.1152263374485631E-2</v>
      </c>
      <c r="Y43" s="199">
        <f>(AVERAGE(T43,U43,V43,X43)-1%)*1.2</f>
        <v>1.7716482482734195E-2</v>
      </c>
      <c r="Z43" s="199">
        <f>(AVERAGE(U43,V43,X43,Y43)-1%)*1.1</f>
        <v>1.7688905110735439E-2</v>
      </c>
      <c r="AA43" s="199">
        <f>(AVERAGE(V43,X43,Y43,Z43)-1%)*1.25</f>
        <v>1.9172199811783513E-2</v>
      </c>
      <c r="AB43" s="203"/>
      <c r="AC43" s="199">
        <f>(AVERAGE(X43,Y43,Z43,AA43))*0.5</f>
        <v>1.1966231347467347E-2</v>
      </c>
      <c r="AD43" s="199">
        <f>(AVERAGE(Y43,Z43,AA43,AC43))*0.975</f>
        <v>1.6220055820975621E-2</v>
      </c>
      <c r="AE43" s="199">
        <f>(AVERAGE(Z43,AA43,AC43,AD43))*1.05</f>
        <v>1.7074940423877506E-2</v>
      </c>
      <c r="AF43" s="199">
        <f>(AVERAGE(AA43,AC43,AD43,AE43))*1.15</f>
        <v>1.8524610378679893E-2</v>
      </c>
      <c r="AG43" s="19"/>
    </row>
    <row r="44" spans="1:33" outlineLevel="1" x14ac:dyDescent="0.3">
      <c r="A44" s="137"/>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2">
        <v>384</v>
      </c>
      <c r="T44" s="29">
        <v>385</v>
      </c>
      <c r="U44" s="29">
        <v>387</v>
      </c>
      <c r="V44" s="29">
        <v>394</v>
      </c>
      <c r="W44" s="19"/>
      <c r="X44" s="29">
        <v>406</v>
      </c>
      <c r="Y44" s="29">
        <f>T44*(1+Y45)</f>
        <v>394.29907003109821</v>
      </c>
      <c r="Z44" s="29">
        <f>U44*(1+Z45)</f>
        <v>396.36629466701652</v>
      </c>
      <c r="AA44" s="29">
        <f>V44*(1+AA45)</f>
        <v>402.84444579078951</v>
      </c>
      <c r="AB44" s="19"/>
      <c r="AC44" s="29">
        <f>X44*(1+AC45)</f>
        <v>412.50083338312044</v>
      </c>
      <c r="AD44" s="29">
        <f>Y44*(1+AD45)</f>
        <v>402.42899474692638</v>
      </c>
      <c r="AE44" s="29">
        <f>Z44*(1+AE45)</f>
        <v>404.61871271375799</v>
      </c>
      <c r="AF44" s="29">
        <f>AA44*(1+AF45)</f>
        <v>411.29345578716612</v>
      </c>
      <c r="AG44" s="19"/>
    </row>
    <row r="45" spans="1:33" outlineLevel="1" x14ac:dyDescent="0.3">
      <c r="A45" s="137"/>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201">
        <f>+S44/N44-1</f>
        <v>1.8567639257294433E-2</v>
      </c>
      <c r="T45" s="202">
        <f>+T44/O44-1</f>
        <v>2.3936170212766061E-2</v>
      </c>
      <c r="U45" s="202">
        <f>+U44/P44-1</f>
        <v>3.2000000000000028E-2</v>
      </c>
      <c r="V45" s="202">
        <f>+V44/Q44-1</f>
        <v>3.4120734908136496E-2</v>
      </c>
      <c r="W45" s="203"/>
      <c r="X45" s="201">
        <f>+X44/S44-1</f>
        <v>5.7291666666666741E-2</v>
      </c>
      <c r="Y45" s="199">
        <f>(AVERAGE(T45,U45,V45,X45)-1%)*0.9</f>
        <v>2.4153428652203098E-2</v>
      </c>
      <c r="Z45" s="199">
        <f>(AVERAGE(U45,V45,X45,Y45)-1%)*0.9</f>
        <v>2.4202311801076432E-2</v>
      </c>
      <c r="AA45" s="199">
        <f>(AVERAGE(V45,X45,Y45,Z45)-1%)*0.9</f>
        <v>2.2447831956318623E-2</v>
      </c>
      <c r="AB45" s="203"/>
      <c r="AC45" s="199">
        <f>(AVERAGE(X45,Y45,Z45,AA45))*0.5</f>
        <v>1.6011904884533114E-2</v>
      </c>
      <c r="AD45" s="199">
        <f>(AVERAGE(Y45,Z45,AA45,AC45))*0.95</f>
        <v>2.0618675857356179E-2</v>
      </c>
      <c r="AE45" s="199">
        <f>AVERAGE(Z45,AA45,AC45,AD45)</f>
        <v>2.0820181124821088E-2</v>
      </c>
      <c r="AF45" s="199">
        <f>(AVERAGE(AA45,AC45,AD45,AE45))*1.05</f>
        <v>2.0973380878545115E-2</v>
      </c>
      <c r="AG45" s="19"/>
    </row>
    <row r="46" spans="1:33" outlineLevel="1" x14ac:dyDescent="0.3">
      <c r="A46" s="137"/>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2">
        <v>981</v>
      </c>
      <c r="T46" s="29">
        <v>1003</v>
      </c>
      <c r="U46" s="29">
        <v>1013</v>
      </c>
      <c r="V46" s="29">
        <v>1038.4000000000001</v>
      </c>
      <c r="W46" s="24"/>
      <c r="X46" s="29">
        <v>1093</v>
      </c>
      <c r="Y46" s="29">
        <f>T46*(1+Y47)</f>
        <v>1102.6223902215875</v>
      </c>
      <c r="Z46" s="29">
        <f>U46*(1+Z47)</f>
        <v>1107.8923058526525</v>
      </c>
      <c r="AA46" s="29">
        <f>V46*(1+AA47)</f>
        <v>1132.8122315223936</v>
      </c>
      <c r="AB46" s="22"/>
      <c r="AC46" s="29">
        <f>X46*(1+AC47)</f>
        <v>1180.0222639343156</v>
      </c>
      <c r="AD46" s="29">
        <f>Y46*(1+AD47)</f>
        <v>1197.8230141830313</v>
      </c>
      <c r="AE46" s="29">
        <f>Z46*(1+AE47)</f>
        <v>1204.9861601620521</v>
      </c>
      <c r="AF46" s="29">
        <f>AA46*(1+AF47)</f>
        <v>1230.3805605990344</v>
      </c>
      <c r="AG46" s="22"/>
    </row>
    <row r="47" spans="1:33" outlineLevel="1" x14ac:dyDescent="0.3">
      <c r="A47" s="137"/>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39">
        <f>+S46/N46-1</f>
        <v>0.12371134020618557</v>
      </c>
      <c r="T47" s="55">
        <f>+T46/O46-1</f>
        <v>0.12192393736017904</v>
      </c>
      <c r="U47" s="55">
        <f>+U46/P46-1</f>
        <v>0.10468920392584513</v>
      </c>
      <c r="V47" s="55">
        <f>+V46/Q46-1</f>
        <v>9.6515311510031676E-2</v>
      </c>
      <c r="W47" s="24"/>
      <c r="X47" s="201">
        <f>+X46/S46-1</f>
        <v>0.11416921508664624</v>
      </c>
      <c r="Y47" s="199">
        <f>AVERAGE(T47,U47,V47,X47)-1%</f>
        <v>9.9324416970675525E-2</v>
      </c>
      <c r="Z47" s="199">
        <f>AVERAGE(U47,V47,X47,Y47)-1%</f>
        <v>9.3674536873299644E-2</v>
      </c>
      <c r="AA47" s="199">
        <f>AVERAGE(V47,X47,Y47,Z47)-1%</f>
        <v>9.0920870110163268E-2</v>
      </c>
      <c r="AB47" s="203"/>
      <c r="AC47" s="199">
        <f>(AVERAGE(X47,Y47,Z47,AA47))*0.8</f>
        <v>7.9617807808156929E-2</v>
      </c>
      <c r="AD47" s="199">
        <f>(AVERAGE(Y47,Z47,AA47,AC47))*0.95</f>
        <v>8.6340187543545152E-2</v>
      </c>
      <c r="AE47" s="199">
        <f>AVERAGE(Z47,AA47,AC47,AD47)</f>
        <v>8.7638350583791255E-2</v>
      </c>
      <c r="AF47" s="199">
        <f>(AVERAGE(AA47,AC47,AD47,AE47))</f>
        <v>8.6129304011414151E-2</v>
      </c>
      <c r="AG47" s="19"/>
    </row>
    <row r="48" spans="1:33" outlineLevel="1" x14ac:dyDescent="0.3">
      <c r="A48" s="137"/>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2">
        <v>768</v>
      </c>
      <c r="T48" s="29">
        <v>782</v>
      </c>
      <c r="U48" s="29">
        <v>802</v>
      </c>
      <c r="V48" s="29">
        <v>817.4</v>
      </c>
      <c r="W48" s="19"/>
      <c r="X48" s="29">
        <v>851</v>
      </c>
      <c r="Y48" s="29">
        <f>T48*(1+Y49)</f>
        <v>846.36210382520744</v>
      </c>
      <c r="Z48" s="29">
        <f>U48*(1+Z49)</f>
        <v>868.14855438282711</v>
      </c>
      <c r="AA48" s="29">
        <f>V48*(1+AA49)</f>
        <v>883.34855911227544</v>
      </c>
      <c r="AB48" s="19"/>
      <c r="AC48" s="29">
        <f>X48*(1+AC49)</f>
        <v>914.93288848013685</v>
      </c>
      <c r="AD48" s="29">
        <f>Y48*(1+AD49)</f>
        <v>907.41284272085215</v>
      </c>
      <c r="AE48" s="29">
        <f>Z48*(1+AE49)</f>
        <v>928.78401115395411</v>
      </c>
      <c r="AF48" s="29">
        <f>AA48*(1+AF49)</f>
        <v>942.53441779352204</v>
      </c>
      <c r="AG48" s="19"/>
    </row>
    <row r="49" spans="1:33" outlineLevel="1" x14ac:dyDescent="0.3">
      <c r="A49" s="137"/>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39">
        <f>+S48/N48-1</f>
        <v>8.9361702127659592E-2</v>
      </c>
      <c r="T49" s="55">
        <f>+T48/O48-1</f>
        <v>8.1604426002766184E-2</v>
      </c>
      <c r="U49" s="55">
        <f>+U48/P48-1</f>
        <v>8.9673913043478271E-2</v>
      </c>
      <c r="V49" s="55">
        <f>+V48/Q48-1</f>
        <v>8.9866666666666539E-2</v>
      </c>
      <c r="W49" s="19"/>
      <c r="X49" s="201">
        <f>+X48/S48-1</f>
        <v>0.10807291666666674</v>
      </c>
      <c r="Y49" s="199">
        <f>AVERAGE(T49,U49,V49,X49)-1%</f>
        <v>8.2304480594894439E-2</v>
      </c>
      <c r="Z49" s="199">
        <f>AVERAGE(U49,V49,X49,Y49)-1%</f>
        <v>8.2479494242926499E-2</v>
      </c>
      <c r="AA49" s="199">
        <f>AVERAGE(V49,X49,Y49,Z49)-1%</f>
        <v>8.0680889542788556E-2</v>
      </c>
      <c r="AB49" s="203"/>
      <c r="AC49" s="199">
        <f>(AVERAGE(X49,Y49,Z49,AA49))*0.85</f>
        <v>7.5126778472546202E-2</v>
      </c>
      <c r="AD49" s="199">
        <f>AVERAGE(Y49,Z49,AA49,AC49) *0.9</f>
        <v>7.2133119641960022E-2</v>
      </c>
      <c r="AE49" s="199">
        <f>AVERAGE(Z49,AA49,AC49,AD49)*0.9</f>
        <v>6.98445634275498E-2</v>
      </c>
      <c r="AF49" s="199">
        <f>AVERAGE(AA49,AC49,AD49,AE49)*0.9</f>
        <v>6.7001703994090028E-2</v>
      </c>
      <c r="AG49" s="19"/>
    </row>
    <row r="50" spans="1:33" s="21" customFormat="1" outlineLevel="1" x14ac:dyDescent="0.3">
      <c r="A50" s="140"/>
      <c r="B50" s="78" t="s">
        <v>81</v>
      </c>
      <c r="C50" s="36"/>
      <c r="D50" s="40">
        <f>+D42+D44+D46+D48</f>
        <v>1654</v>
      </c>
      <c r="E50" s="40">
        <f>+E42+E44+E46+E48</f>
        <v>1712</v>
      </c>
      <c r="F50" s="40">
        <f>+F42+F44+F46+F48</f>
        <v>1787</v>
      </c>
      <c r="G50" s="40">
        <f>+G42+G44+G46+G48</f>
        <v>1859.8000000000002</v>
      </c>
      <c r="H50" s="95"/>
      <c r="I50" s="40">
        <f>+I42+I44+I46+I48</f>
        <v>1936</v>
      </c>
      <c r="J50" s="40">
        <f>+J42+J44+J46+J48</f>
        <v>2006</v>
      </c>
      <c r="K50" s="40">
        <f>+K42+K44+K46+K48</f>
        <v>2072</v>
      </c>
      <c r="L50" s="40">
        <f>+L42+L44+L46+L48</f>
        <v>2129</v>
      </c>
      <c r="M50" s="95"/>
      <c r="N50" s="40">
        <f>+N42+N44+N46+N48</f>
        <v>2196</v>
      </c>
      <c r="O50" s="40">
        <f>+O42+O44+O46+O48</f>
        <v>2234</v>
      </c>
      <c r="P50" s="40">
        <f>+P42+P44+P46+P48</f>
        <v>2270</v>
      </c>
      <c r="Q50" s="40">
        <f>+Q42+Q44+Q46+Q48</f>
        <v>2320</v>
      </c>
      <c r="R50" s="95"/>
      <c r="S50" s="40">
        <f>+S42+S44+S46+S48</f>
        <v>2376</v>
      </c>
      <c r="T50" s="40">
        <f>+T42+T44+T46+T48</f>
        <v>2414</v>
      </c>
      <c r="U50" s="40">
        <f>+U42+U44+U46+U48</f>
        <v>2449</v>
      </c>
      <c r="V50" s="40">
        <f>+V42+V44+V46+V48</f>
        <v>2497.8000000000002</v>
      </c>
      <c r="W50" s="96"/>
      <c r="X50" s="40">
        <f>+X42+X44+X46+X48</f>
        <v>2603</v>
      </c>
      <c r="Y50" s="40">
        <f>+Y42+Y44+Y46+Y48</f>
        <v>2591.6063858036805</v>
      </c>
      <c r="Z50" s="40">
        <f>+Z42+Z44+Z46+Z48</f>
        <v>2623.7763144648479</v>
      </c>
      <c r="AA50" s="40">
        <f>+AA42+AA44+AA46+AA48</f>
        <v>2671.7599419787807</v>
      </c>
      <c r="AB50" s="95"/>
      <c r="AC50" s="40">
        <f>+AC42+AC44+AC46+AC48</f>
        <v>2763.4834423284819</v>
      </c>
      <c r="AD50" s="40">
        <f>+AD42+AD44+AD46+AD48</f>
        <v>2760.0154834066116</v>
      </c>
      <c r="AE50" s="40">
        <f>+AE42+AE44+AE46+AE48</f>
        <v>2794.0501570160432</v>
      </c>
      <c r="AF50" s="40">
        <f>+AF42+AF44+AF46+AF48</f>
        <v>2841.6453221747984</v>
      </c>
      <c r="AG50" s="95"/>
    </row>
    <row r="51" spans="1:33" ht="17.399999999999999" x14ac:dyDescent="0.45">
      <c r="A51" s="137"/>
      <c r="B51" s="208" t="s">
        <v>87</v>
      </c>
      <c r="C51" s="209"/>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7"/>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T52*(1+Y53)</f>
        <v>32.740096619294171</v>
      </c>
      <c r="Z52" s="45">
        <f>U52*(1+Z53)</f>
        <v>36.13147609953208</v>
      </c>
      <c r="AA52" s="45">
        <f>V52*(1+AA53)</f>
        <v>45.296532257209861</v>
      </c>
      <c r="AB52" s="19"/>
      <c r="AC52" s="45">
        <f>X52*(1+AC53)</f>
        <v>39.446876478585132</v>
      </c>
      <c r="AD52" s="45">
        <f>Y52*(1+AD53)</f>
        <v>38.612967963551995</v>
      </c>
      <c r="AE52" s="45">
        <f>Z52*(1+AE53)</f>
        <v>43.552322529351862</v>
      </c>
      <c r="AF52" s="45">
        <f>AA52*(1+AF53)</f>
        <v>57.440885233432887</v>
      </c>
      <c r="AG52" s="19"/>
    </row>
    <row r="53" spans="1:33" ht="15.6" outlineLevel="1" x14ac:dyDescent="0.3">
      <c r="A53" s="137"/>
      <c r="B53" s="47" t="s">
        <v>142</v>
      </c>
      <c r="C53" s="48"/>
      <c r="D53" s="45"/>
      <c r="E53" s="45"/>
      <c r="F53" s="45"/>
      <c r="G53" s="45"/>
      <c r="H53" s="19"/>
      <c r="I53" s="55">
        <f>+I52/D52-1</f>
        <v>0.373698905109489</v>
      </c>
      <c r="J53" s="55">
        <f>+J52/E52-1</f>
        <v>0.35153175591531749</v>
      </c>
      <c r="K53" s="55">
        <f>+K52/F52-1</f>
        <v>0.35477528089887644</v>
      </c>
      <c r="L53" s="55">
        <f>+L52/G52-1</f>
        <v>0.35092186128182612</v>
      </c>
      <c r="M53" s="19"/>
      <c r="N53" s="55">
        <f>+N52/I52-1</f>
        <v>0.38195664909197413</v>
      </c>
      <c r="O53" s="55">
        <f>+O52/J52-1</f>
        <v>0.33694530443756454</v>
      </c>
      <c r="P53" s="55">
        <f>+P52/K52-1</f>
        <v>0.3023584905660377</v>
      </c>
      <c r="Q53" s="55">
        <f>+Q52/L52-1</f>
        <v>0.30269058295964113</v>
      </c>
      <c r="R53" s="19"/>
      <c r="S53" s="139">
        <f>+S52/N52-1</f>
        <v>0.27681220856295052</v>
      </c>
      <c r="T53" s="55">
        <f>+T52/O52-1</f>
        <v>0.28406020841374002</v>
      </c>
      <c r="U53" s="55">
        <f>+U52/P52-1</f>
        <v>0.25135820354943861</v>
      </c>
      <c r="V53" s="55">
        <f>+V52/Q52-1</f>
        <v>0.18789443488238655</v>
      </c>
      <c r="W53" s="19"/>
      <c r="X53" s="139">
        <f>+X52/S52-1</f>
        <v>0.13479415670650718</v>
      </c>
      <c r="Y53" s="59">
        <f>(AVERAGE(T53,U53,V53,X53)-22.8376632115546%)*1.15</f>
        <v>-1.5927363411657076E-2</v>
      </c>
      <c r="Z53" s="59">
        <f>AVERAGE(U53,V53,X53,Y53)-9.37563094647488%</f>
        <v>4.577354846692E-2</v>
      </c>
      <c r="AA53" s="59">
        <f>AVERAGE(V53,X53,Y53,Z53)+0.572122632217421%</f>
        <v>9.385492048321338E-2</v>
      </c>
      <c r="AB53" s="19"/>
      <c r="AC53" s="59">
        <f>AVERAGE(X53,Y53,Z53,AA53)+8.94685331393137%</f>
        <v>0.15409234870055957</v>
      </c>
      <c r="AD53" s="59">
        <f>AVERAGE(Y53,Z53,AA53,AC53)+10.9930195170482%</f>
        <v>0.17937855873024097</v>
      </c>
      <c r="AE53" s="59">
        <f>(AVERAGE(Z53,AA53,AC53,AD53)+10.9930195170482%)*0.9</f>
        <v>0.20538453533914394</v>
      </c>
      <c r="AF53" s="59">
        <f>AVERAGE(AA53,AC53,AD53,AE53)+10.9930195170482%</f>
        <v>0.2681077859837715</v>
      </c>
      <c r="AG53" s="19"/>
    </row>
    <row r="54" spans="1:33" outlineLevel="1" x14ac:dyDescent="0.3">
      <c r="A54" s="137"/>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1">
        <v>9.5500000000000007</v>
      </c>
      <c r="T54" s="45">
        <v>10.7</v>
      </c>
      <c r="U54" s="45">
        <v>10.68</v>
      </c>
      <c r="V54" s="45">
        <v>13.21</v>
      </c>
      <c r="W54" s="19"/>
      <c r="X54" s="45">
        <v>10.64</v>
      </c>
      <c r="Y54" s="45">
        <f>T54*(1+Y55)</f>
        <v>10.420897360353516</v>
      </c>
      <c r="Z54" s="45">
        <f>U54*(1+Z55)</f>
        <v>10.952427201432627</v>
      </c>
      <c r="AA54" s="45">
        <f>V54*(1+AA55)</f>
        <v>14.123657995144761</v>
      </c>
      <c r="AB54" s="19"/>
      <c r="AC54" s="45">
        <f>X54*(1+AC55)</f>
        <v>12.190045971568773</v>
      </c>
      <c r="AD54" s="45">
        <f>Y54*(1+AD55)</f>
        <v>12.12468728887143</v>
      </c>
      <c r="AE54" s="45">
        <f>Z54*(1+AE55)</f>
        <v>13.262216075626293</v>
      </c>
      <c r="AF54" s="45">
        <f>AA54*(1+AF55)</f>
        <v>17.75681441759264</v>
      </c>
      <c r="AG54" s="19"/>
    </row>
    <row r="55" spans="1:33" outlineLevel="1" x14ac:dyDescent="0.3">
      <c r="A55" s="137"/>
      <c r="B55" s="47" t="s">
        <v>145</v>
      </c>
      <c r="C55" s="71"/>
      <c r="D55" s="45"/>
      <c r="E55" s="45"/>
      <c r="F55" s="45"/>
      <c r="G55" s="45"/>
      <c r="H55" s="19"/>
      <c r="I55" s="55">
        <f>+I54/D54-1</f>
        <v>0.36018362662586068</v>
      </c>
      <c r="J55" s="55">
        <f>+J54/E54-1</f>
        <v>0.32929968454258685</v>
      </c>
      <c r="K55" s="55">
        <f>+K54/F54-1</f>
        <v>0.45109034267912751</v>
      </c>
      <c r="L55" s="55">
        <f>+L54/G54-1</f>
        <v>0.48238740920096834</v>
      </c>
      <c r="M55" s="19"/>
      <c r="N55" s="55">
        <f>+N54/I54-1</f>
        <v>0.49815498154981541</v>
      </c>
      <c r="O55" s="55">
        <f>+O54/J54-1</f>
        <v>0.39490445859872603</v>
      </c>
      <c r="P55" s="55">
        <f>+P54/K54-1</f>
        <v>0.28759124087591248</v>
      </c>
      <c r="Q55" s="55">
        <f>+Q54/L54-1</f>
        <v>0.23927765237020338</v>
      </c>
      <c r="R55" s="19"/>
      <c r="S55" s="139">
        <f>+S54/N54-1</f>
        <v>0.17610837438423665</v>
      </c>
      <c r="T55" s="55">
        <f>+T54/O54-1</f>
        <v>0.22146118721461172</v>
      </c>
      <c r="U55" s="55">
        <f>+U54/P54-1</f>
        <v>0.21088435374149661</v>
      </c>
      <c r="V55" s="55">
        <f>+V54/Q54-1</f>
        <v>0.2030965391621129</v>
      </c>
      <c r="W55" s="19"/>
      <c r="X55" s="139">
        <f>+X54/S54-1</f>
        <v>0.11413612565445019</v>
      </c>
      <c r="Y55" s="59">
        <f>(AVERAGE(T55,U55,V55,X55)-22%)*0.8</f>
        <v>-2.6084358845465717E-2</v>
      </c>
      <c r="Z55" s="59">
        <f>AVERAGE(U55,V55,X55,Y55)-10%</f>
        <v>2.5508164928148502E-2</v>
      </c>
      <c r="AA55" s="59">
        <f>AVERAGE(V55,X55,Y55,Z55)-1%</f>
        <v>6.9164117724811472E-2</v>
      </c>
      <c r="AB55" s="19"/>
      <c r="AC55" s="59">
        <f>AVERAGE(X55,Y55,Z55,AA55)+10%</f>
        <v>0.14568101236548611</v>
      </c>
      <c r="AD55" s="59">
        <f>AVERAGE(Y55,Z55,AA55,AC55)+10.9930195170482%</f>
        <v>0.16349742921372709</v>
      </c>
      <c r="AE55" s="59">
        <f>AVERAGE(Z55,AA55,AC55,AD55)+10.9930195170482%</f>
        <v>0.21089287622852529</v>
      </c>
      <c r="AF55" s="59">
        <f>AVERAGE(AA55,AC55,AD55,AE55)+10.9930195170482%</f>
        <v>0.25723905405361946</v>
      </c>
      <c r="AG55" s="19"/>
    </row>
    <row r="56" spans="1:33" outlineLevel="1" x14ac:dyDescent="0.3">
      <c r="A56" s="137"/>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1">
        <v>2.78</v>
      </c>
      <c r="T56" s="45">
        <v>3.04</v>
      </c>
      <c r="U56" s="45">
        <v>3.24</v>
      </c>
      <c r="V56" s="45">
        <v>3.57</v>
      </c>
      <c r="W56" s="19"/>
      <c r="X56" s="45">
        <v>3.06</v>
      </c>
      <c r="Y56" s="45">
        <f>T56*(1+Y57)</f>
        <v>2.8808700181060622</v>
      </c>
      <c r="Z56" s="45">
        <f>U56*(1+Z57)</f>
        <v>3.2950299928907034</v>
      </c>
      <c r="AA56" s="45">
        <f>V56*(1+AA57)</f>
        <v>3.7765599166023498</v>
      </c>
      <c r="AB56" s="19"/>
      <c r="AC56" s="45">
        <f>X56*(1+AC57)</f>
        <v>3.4602621693326339</v>
      </c>
      <c r="AD56" s="45">
        <f>Y56*(1+AD57)</f>
        <v>3.3079766499036207</v>
      </c>
      <c r="AE56" s="45">
        <f>Z56*(1+AE57)</f>
        <v>3.9487853815122222</v>
      </c>
      <c r="AF56" s="45">
        <f>AA56*(1+AF57)</f>
        <v>4.6971416820928971</v>
      </c>
      <c r="AG56" s="19"/>
    </row>
    <row r="57" spans="1:33" outlineLevel="1" x14ac:dyDescent="0.3">
      <c r="A57" s="137"/>
      <c r="B57" s="47" t="s">
        <v>144</v>
      </c>
      <c r="C57" s="71"/>
      <c r="D57" s="45"/>
      <c r="E57" s="45"/>
      <c r="F57" s="45"/>
      <c r="G57" s="45"/>
      <c r="H57" s="19"/>
      <c r="I57" s="55">
        <f>+I56/D56-1</f>
        <v>0.27023201856148504</v>
      </c>
      <c r="J57" s="55">
        <f>+J56/E56-1</f>
        <v>0.20319024390243889</v>
      </c>
      <c r="K57" s="55">
        <f>+K56/F56-1</f>
        <v>0.20089688041594456</v>
      </c>
      <c r="L57" s="55">
        <f>+L56/G56-1</f>
        <v>0.22612898443291329</v>
      </c>
      <c r="M57" s="19"/>
      <c r="N57" s="55">
        <f>+N56/I56-1</f>
        <v>0.24242424242424243</v>
      </c>
      <c r="O57" s="55">
        <f>+O56/J56-1</f>
        <v>0.23004694835680772</v>
      </c>
      <c r="P57" s="55">
        <f>+P56/K56-1</f>
        <v>0.17621145374449343</v>
      </c>
      <c r="Q57" s="55">
        <f>+Q56/L56-1</f>
        <v>0.16535433070866135</v>
      </c>
      <c r="R57" s="19"/>
      <c r="S57" s="139">
        <f>+S56/N56-1</f>
        <v>0.13008130081300817</v>
      </c>
      <c r="T57" s="55">
        <f>+T56/O56-1</f>
        <v>0.16030534351145032</v>
      </c>
      <c r="U57" s="55">
        <f>+U56/P56-1</f>
        <v>0.21348314606741581</v>
      </c>
      <c r="V57" s="55">
        <f>+V56/Q56-1</f>
        <v>0.20608108108108114</v>
      </c>
      <c r="W57" s="22"/>
      <c r="X57" s="139">
        <f>+X56/S56-1</f>
        <v>0.10071942446043169</v>
      </c>
      <c r="Y57" s="59">
        <f>(AVERAGE(T57,U57,V57,X57)-22%)*1.05</f>
        <v>-5.2345388780900524E-2</v>
      </c>
      <c r="Z57" s="59">
        <f>AVERAGE(U57,V57,X57,Y57)-10%</f>
        <v>1.6984565707007029E-2</v>
      </c>
      <c r="AA57" s="59">
        <f>AVERAGE(V57,X57,Y57,Z57)-1%</f>
        <v>5.7859920616904835E-2</v>
      </c>
      <c r="AB57" s="19"/>
      <c r="AC57" s="59">
        <f>AVERAGE(X57,Y57,Z57,AA57)+10%</f>
        <v>0.13080463050086077</v>
      </c>
      <c r="AD57" s="59">
        <f>AVERAGE(Y57,Z57,AA57,AC57)+10.9930195170482%</f>
        <v>0.14825612718145004</v>
      </c>
      <c r="AE57" s="59">
        <f>AVERAGE(Z57,AA57,AC57,AD57)+10.9930195170482%</f>
        <v>0.19840650617203767</v>
      </c>
      <c r="AF57" s="59">
        <f>AVERAGE(AA57,AC57,AD57,AE57)+10.9930195170482%</f>
        <v>0.24376199128829534</v>
      </c>
      <c r="AG57" s="19"/>
    </row>
    <row r="58" spans="1:33" outlineLevel="1" x14ac:dyDescent="0.3">
      <c r="A58" s="137"/>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1">
        <v>1.89</v>
      </c>
      <c r="T58" s="45">
        <v>2.13</v>
      </c>
      <c r="U58" s="45">
        <v>2.2400000000000002</v>
      </c>
      <c r="V58" s="45">
        <v>2.48</v>
      </c>
      <c r="W58" s="19"/>
      <c r="X58" s="45">
        <v>1.99</v>
      </c>
      <c r="Y58" s="45">
        <f>T58*(1+Y59)</f>
        <v>1.9753125206272131</v>
      </c>
      <c r="Z58" s="45">
        <f>U58*(1+Z59)</f>
        <v>2.2323904423317109</v>
      </c>
      <c r="AA58" s="45">
        <f>V58*(1+AA59)</f>
        <v>2.5495919926499981</v>
      </c>
      <c r="AB58" s="19"/>
      <c r="AC58" s="45">
        <f>X58*(1+AC59)</f>
        <v>2.1914631158122981</v>
      </c>
      <c r="AD58" s="45">
        <f>Y58*(1+AD59)</f>
        <v>2.2187695226056507</v>
      </c>
      <c r="AE58" s="45">
        <f>Z58*(1+AE59)</f>
        <v>2.5784027570630239</v>
      </c>
      <c r="AF58" s="45">
        <f>AA58*(1+AF59)</f>
        <v>3.0896376481570749</v>
      </c>
      <c r="AG58" s="19"/>
    </row>
    <row r="59" spans="1:33" ht="16.2" outlineLevel="1" x14ac:dyDescent="0.45">
      <c r="A59" s="137"/>
      <c r="B59" s="47" t="s">
        <v>143</v>
      </c>
      <c r="C59" s="71"/>
      <c r="D59" s="97"/>
      <c r="E59" s="97"/>
      <c r="F59" s="97"/>
      <c r="G59" s="97"/>
      <c r="H59" s="98"/>
      <c r="I59" s="55">
        <f>+I58/D58-1</f>
        <v>0.39887949260042288</v>
      </c>
      <c r="J59" s="55">
        <f>+J58/E58-1</f>
        <v>0.3124755700325732</v>
      </c>
      <c r="K59" s="55">
        <f>+K58/F58-1</f>
        <v>0.31312861271676296</v>
      </c>
      <c r="L59" s="55">
        <f>+L58/G58-1</f>
        <v>0.32283909415971412</v>
      </c>
      <c r="M59" s="98"/>
      <c r="N59" s="55">
        <f>+N58/I58-1</f>
        <v>0.32283464566929121</v>
      </c>
      <c r="O59" s="55">
        <f>+O58/J58-1</f>
        <v>0.29054054054054057</v>
      </c>
      <c r="P59" s="55">
        <f>+P58/K58-1</f>
        <v>0.14465408805031443</v>
      </c>
      <c r="Q59" s="55">
        <f>+Q58/L58-1</f>
        <v>0.13440860215053752</v>
      </c>
      <c r="R59" s="98"/>
      <c r="S59" s="139">
        <f>+S58/N58-1</f>
        <v>0.125</v>
      </c>
      <c r="T59" s="55">
        <f>+T58/O58-1</f>
        <v>0.11518324607329844</v>
      </c>
      <c r="U59" s="55">
        <f>+U58/P58-1</f>
        <v>0.23076923076923084</v>
      </c>
      <c r="V59" s="55">
        <f>+V58/Q58-1</f>
        <v>0.17535545023696697</v>
      </c>
      <c r="W59" s="98"/>
      <c r="X59" s="139">
        <f>+X58/S58-1</f>
        <v>5.2910052910053018E-2</v>
      </c>
      <c r="Y59" s="59">
        <f>(AVERAGE(T59,U59,V59,X59)-22%)*0.95</f>
        <v>-7.2623229752482046E-2</v>
      </c>
      <c r="Z59" s="59">
        <f>AVERAGE(U59,V59,X59,Y59)-10%</f>
        <v>-3.3971239590578073E-3</v>
      </c>
      <c r="AA59" s="59">
        <f>AVERAGE(V59,X59,Y59,Z59)-1%</f>
        <v>2.8061287358870035E-2</v>
      </c>
      <c r="AB59" s="19"/>
      <c r="AC59" s="59">
        <f>AVERAGE(X59,Y59,Z59,AA59)+10%</f>
        <v>0.1012377466393458</v>
      </c>
      <c r="AD59" s="59">
        <f>AVERAGE(Y59,Z59,AA59,AC59)+10.9930195170482%</f>
        <v>0.12324986524215099</v>
      </c>
      <c r="AE59" s="59">
        <f>(AVERAGE(Z59,AA59,AC59,AD59)+10.9930195170482%)*0.9</f>
        <v>0.15499632509172831</v>
      </c>
      <c r="AF59" s="59">
        <f>AVERAGE(AA59,AC59,AD59,AE59)+10.9930195170482%</f>
        <v>0.21181650125350579</v>
      </c>
      <c r="AG59" s="19"/>
    </row>
    <row r="60" spans="1:33" outlineLevel="1" x14ac:dyDescent="0.3">
      <c r="A60" s="137"/>
      <c r="B60" s="78" t="s">
        <v>90</v>
      </c>
      <c r="C60" s="71"/>
      <c r="D60" s="43"/>
      <c r="E60" s="43">
        <f>+E40/((D50+E50)/2)</f>
        <v>3.8241235888294711</v>
      </c>
      <c r="F60" s="43">
        <f>+F40/((E50+F50)/2)</f>
        <v>4.007430694484138</v>
      </c>
      <c r="G60" s="43">
        <f>+G40/((F50+G50)/2)</f>
        <v>4.831084786662279</v>
      </c>
      <c r="H60" s="19"/>
      <c r="I60" s="43">
        <f>+I40/((G50+I50)/2)</f>
        <v>4.2320459455187311</v>
      </c>
      <c r="J60" s="43">
        <f>+J40/((I50+J50)/2)</f>
        <v>4.7290715372907153</v>
      </c>
      <c r="K60" s="43">
        <f>+K40/((J50+K50)/2)</f>
        <v>5.0652280529671412</v>
      </c>
      <c r="L60" s="43">
        <f>+L40/((K50+L50)/2)</f>
        <v>6.1756724589383483</v>
      </c>
      <c r="M60" s="19"/>
      <c r="N60" s="43">
        <f>+N40/((L50+N50)/2)</f>
        <v>5.5334104046242771</v>
      </c>
      <c r="O60" s="43">
        <f>+O40/((N50+O50)/2)</f>
        <v>5.9733634311512418</v>
      </c>
      <c r="P60" s="43">
        <f>+P40/((O50+P50)/2)</f>
        <v>6.0954706927175843</v>
      </c>
      <c r="Q60" s="43">
        <f>+Q40/((P50+Q50)/2)</f>
        <v>7.3699346405228754</v>
      </c>
      <c r="R60" s="19"/>
      <c r="S60" s="135">
        <f>+S40/((Q50+S50)/2)</f>
        <v>6.4212095400340718</v>
      </c>
      <c r="T60" s="43">
        <f>+T40/((S50+T50)/2)</f>
        <v>7.0505219206680581</v>
      </c>
      <c r="U60" s="43">
        <f>+U40/((T50+U50)/2)</f>
        <v>7.2597162245527453</v>
      </c>
      <c r="V60" s="43">
        <f>+V40/((U50+V50)/2)</f>
        <v>8.5234899328859051</v>
      </c>
      <c r="W60" s="19"/>
      <c r="X60" s="43">
        <f>+X40/((V50+X50)/2)</f>
        <v>6.954595357590966</v>
      </c>
      <c r="Y60" s="43">
        <f>+Y40/((X50+Y50)/2)</f>
        <v>6.6282818871575966</v>
      </c>
      <c r="Z60" s="43">
        <f>+Z40/((Y50+Z50)/2)</f>
        <v>7.252676424798647</v>
      </c>
      <c r="AA60" s="43">
        <f>+AA40/((Z50+AA50)/2)</f>
        <v>8.8849547543705061</v>
      </c>
      <c r="AB60" s="19"/>
      <c r="AC60" s="43">
        <f>+AC40/((AA50+AC50)/2)</f>
        <v>7.7186690171055501</v>
      </c>
      <c r="AD60" s="43">
        <f>+AD40/((AC50+AD50)/2)</f>
        <v>7.4988659447344395</v>
      </c>
      <c r="AE60" s="43">
        <f>+AE40/((AD50+AE50)/2)</f>
        <v>8.4714469044226082</v>
      </c>
      <c r="AF60" s="43">
        <f>+AF40/((AE50+AF50)/2)</f>
        <v>10.856117433328979</v>
      </c>
      <c r="AG60" s="19"/>
    </row>
    <row r="61" spans="1:33" ht="17.399999999999999" x14ac:dyDescent="0.45">
      <c r="A61" s="137"/>
      <c r="B61" s="208" t="s">
        <v>26</v>
      </c>
      <c r="C61" s="209"/>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2"/>
      <c r="B62" s="70" t="s">
        <v>19</v>
      </c>
      <c r="C62" s="48"/>
      <c r="D62" s="45">
        <f>+D40-D13</f>
        <v>0</v>
      </c>
      <c r="E62" s="45">
        <f>+E40-E13</f>
        <v>0</v>
      </c>
      <c r="F62" s="45">
        <f>+F40-F13</f>
        <v>0</v>
      </c>
      <c r="G62" s="45">
        <f>+G40-G13</f>
        <v>0</v>
      </c>
      <c r="H62" s="19"/>
      <c r="I62" s="45">
        <f>+I40-I13</f>
        <v>0</v>
      </c>
      <c r="J62" s="45">
        <f>+J40-J13</f>
        <v>0</v>
      </c>
      <c r="K62" s="45">
        <f>+K40-K13</f>
        <v>0</v>
      </c>
      <c r="L62" s="45">
        <f>+L40-L13</f>
        <v>0</v>
      </c>
      <c r="M62" s="19"/>
      <c r="N62" s="45">
        <f>+N40-N13</f>
        <v>0</v>
      </c>
      <c r="O62" s="45">
        <f>+O40-O13</f>
        <v>0</v>
      </c>
      <c r="P62" s="45">
        <f>+P40-P13</f>
        <v>0</v>
      </c>
      <c r="Q62" s="45">
        <f>+Q40-Q13</f>
        <v>0</v>
      </c>
      <c r="R62" s="19"/>
      <c r="S62" s="45">
        <f>+S40-S13</f>
        <v>0</v>
      </c>
      <c r="T62" s="45">
        <f>+T40-T13</f>
        <v>0</v>
      </c>
      <c r="U62" s="45">
        <f>+U40-U13</f>
        <v>0</v>
      </c>
      <c r="V62" s="45">
        <f>+V40-V13</f>
        <v>0</v>
      </c>
      <c r="W62" s="19"/>
      <c r="X62" s="45">
        <f>+X40-X13</f>
        <v>0</v>
      </c>
      <c r="Y62" s="45">
        <f>+Y40-Y13</f>
        <v>0</v>
      </c>
      <c r="Z62" s="45">
        <f>+Z40-Z13</f>
        <v>0</v>
      </c>
      <c r="AA62" s="45">
        <f>+AA40-AA13</f>
        <v>0</v>
      </c>
      <c r="AB62" s="19"/>
      <c r="AC62" s="45">
        <f>+AC40-AC13</f>
        <v>0</v>
      </c>
      <c r="AD62" s="45">
        <f>+AD40-AD13</f>
        <v>0</v>
      </c>
      <c r="AE62" s="45">
        <f>+AE40-AE13</f>
        <v>0</v>
      </c>
      <c r="AF62" s="45">
        <f>+AF40-AF13</f>
        <v>0</v>
      </c>
      <c r="AG62" s="19"/>
    </row>
    <row r="63" spans="1:33" ht="15" customHeight="1" x14ac:dyDescent="0.45">
      <c r="A63" s="137"/>
      <c r="B63" s="208" t="s">
        <v>16</v>
      </c>
      <c r="C63" s="209"/>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4"/>
      <c r="B64" s="213" t="s">
        <v>101</v>
      </c>
      <c r="C64" s="214"/>
      <c r="D64" s="55"/>
      <c r="E64" s="55"/>
      <c r="F64" s="55"/>
      <c r="G64" s="55"/>
      <c r="H64" s="53"/>
      <c r="I64" s="55">
        <f t="shared" ref="I64:AG64" si="8">I13/D13-1</f>
        <v>0.49238201412114457</v>
      </c>
      <c r="J64" s="55">
        <f t="shared" si="8"/>
        <v>0.44825978868862637</v>
      </c>
      <c r="K64" s="55">
        <f t="shared" si="8"/>
        <v>0.47311367850520614</v>
      </c>
      <c r="L64" s="55">
        <f t="shared" si="8"/>
        <v>0.47258485639686687</v>
      </c>
      <c r="M64" s="53">
        <f t="shared" si="8"/>
        <v>0.47090961719371882</v>
      </c>
      <c r="N64" s="55">
        <f t="shared" si="8"/>
        <v>0.48979083665338652</v>
      </c>
      <c r="O64" s="55">
        <f t="shared" si="8"/>
        <v>0.41948288810213485</v>
      </c>
      <c r="P64" s="55">
        <f t="shared" si="8"/>
        <v>0.32910534469403574</v>
      </c>
      <c r="Q64" s="55">
        <f t="shared" si="8"/>
        <v>0.30388529139685483</v>
      </c>
      <c r="R64" s="54">
        <f t="shared" si="8"/>
        <v>0.37352716896661997</v>
      </c>
      <c r="S64" s="55">
        <f t="shared" si="8"/>
        <v>0.25998662878154777</v>
      </c>
      <c r="T64" s="55">
        <f t="shared" si="8"/>
        <v>0.2762451817700855</v>
      </c>
      <c r="U64" s="55">
        <f t="shared" si="8"/>
        <v>0.2859328331026445</v>
      </c>
      <c r="V64" s="55">
        <f t="shared" si="8"/>
        <v>0.2464230814709707</v>
      </c>
      <c r="W64" s="54">
        <f t="shared" si="8"/>
        <v>0.26610910132884413</v>
      </c>
      <c r="X64" s="55">
        <f t="shared" si="8"/>
        <v>0.17642767128739134</v>
      </c>
      <c r="Y64" s="55">
        <f t="shared" si="8"/>
        <v>1.9522545834884664E-2</v>
      </c>
      <c r="Z64" s="55">
        <f t="shared" si="8"/>
        <v>7.1422024601752288E-2</v>
      </c>
      <c r="AA64" s="55">
        <f t="shared" si="8"/>
        <v>0.11589507728465542</v>
      </c>
      <c r="AB64" s="53">
        <f t="shared" si="8"/>
        <v>9.4681518403229248E-2</v>
      </c>
      <c r="AC64" s="55">
        <f t="shared" si="8"/>
        <v>0.18263642980437478</v>
      </c>
      <c r="AD64" s="55">
        <f t="shared" si="8"/>
        <v>0.20297402196826742</v>
      </c>
      <c r="AE64" s="55">
        <f t="shared" si="8"/>
        <v>0.24389613165808455</v>
      </c>
      <c r="AF64" s="55">
        <f t="shared" si="8"/>
        <v>0.3003398870650873</v>
      </c>
      <c r="AG64" s="53">
        <f t="shared" si="8"/>
        <v>0.23791081185981544</v>
      </c>
    </row>
    <row r="65" spans="1:33" s="42" customFormat="1" outlineLevel="1" x14ac:dyDescent="0.3">
      <c r="A65" s="144"/>
      <c r="B65" s="213" t="s">
        <v>102</v>
      </c>
      <c r="C65" s="214"/>
      <c r="D65" s="55"/>
      <c r="E65" s="55">
        <f>+E13/D13-1</f>
        <v>0.19583797844667417</v>
      </c>
      <c r="F65" s="55">
        <f t="shared" ref="F65:L65" si="9">+F13/E13-1</f>
        <v>8.9341205717837102E-2</v>
      </c>
      <c r="G65" s="55">
        <f t="shared" si="9"/>
        <v>0.25645414348880324</v>
      </c>
      <c r="H65" s="53"/>
      <c r="I65" s="55">
        <f>+I13/G13-1</f>
        <v>-8.8205244636167524E-2</v>
      </c>
      <c r="J65" s="55">
        <f t="shared" si="9"/>
        <v>0.16048306772908361</v>
      </c>
      <c r="K65" s="55">
        <f t="shared" si="9"/>
        <v>0.10803561849586951</v>
      </c>
      <c r="L65" s="55">
        <f t="shared" si="9"/>
        <v>0.25600309837335389</v>
      </c>
      <c r="M65" s="53"/>
      <c r="N65" s="55">
        <f>+N13/L13-1</f>
        <v>-7.755164970706141E-2</v>
      </c>
      <c r="O65" s="55">
        <f>+O13/N13-1</f>
        <v>0.10571619588835035</v>
      </c>
      <c r="P65" s="55">
        <f>+P13/O13-1</f>
        <v>3.7487718237472656E-2</v>
      </c>
      <c r="Q65" s="55">
        <f>+Q13/P13-1</f>
        <v>0.23217017556640207</v>
      </c>
      <c r="R65" s="54"/>
      <c r="S65" s="55">
        <f>+S13/Q13-1</f>
        <v>-0.10860825351779591</v>
      </c>
      <c r="T65" s="55">
        <f>+T13/S13-1</f>
        <v>0.11998408171386887</v>
      </c>
      <c r="U65" s="55">
        <f>+U13/T13-1</f>
        <v>4.536302262229075E-2</v>
      </c>
      <c r="V65" s="55">
        <f>+V13/U13-1</f>
        <v>0.19431225923408113</v>
      </c>
      <c r="W65" s="54"/>
      <c r="X65" s="55">
        <f>+X13/V13-1</f>
        <v>-0.15866616070581541</v>
      </c>
      <c r="Y65" s="55">
        <f>+Y13/X13-1</f>
        <v>-2.9392923889729916E-2</v>
      </c>
      <c r="Z65" s="55">
        <f>+Z13/Y13-1</f>
        <v>9.8577928185586305E-2</v>
      </c>
      <c r="AA65" s="55">
        <f>+AA13/Z13-1</f>
        <v>0.24388629337296042</v>
      </c>
      <c r="AB65" s="53"/>
      <c r="AC65" s="55">
        <f>+AC13/AA13-1</f>
        <v>-0.10834623413015743</v>
      </c>
      <c r="AD65" s="55">
        <f>+AD13/AC13-1</f>
        <v>-1.2701563495407853E-2</v>
      </c>
      <c r="AE65" s="55">
        <f>+AE13/AD13-1</f>
        <v>0.13594874888416375</v>
      </c>
      <c r="AF65" s="55">
        <f>+AF13/AE13-1</f>
        <v>0.30032960235220685</v>
      </c>
      <c r="AG65" s="53"/>
    </row>
    <row r="66" spans="1:33" s="42" customFormat="1" outlineLevel="1" x14ac:dyDescent="0.3">
      <c r="A66" s="144"/>
      <c r="B66" s="70" t="s">
        <v>105</v>
      </c>
      <c r="C66" s="71"/>
      <c r="D66" s="55"/>
      <c r="E66" s="55"/>
      <c r="F66" s="55"/>
      <c r="G66" s="55"/>
      <c r="H66" s="53"/>
      <c r="I66" s="55"/>
      <c r="J66" s="55"/>
      <c r="K66" s="55"/>
      <c r="L66" s="55"/>
      <c r="M66" s="53"/>
      <c r="N66" s="111">
        <f>+N84+N13</f>
        <v>11430</v>
      </c>
      <c r="O66" s="111">
        <f>+O84+O13</f>
        <v>12858</v>
      </c>
      <c r="P66" s="111">
        <f>+P84+P13</f>
        <v>13886</v>
      </c>
      <c r="Q66" s="111">
        <f>+Q84+Q13</f>
        <v>17262</v>
      </c>
      <c r="R66" s="54"/>
      <c r="S66" s="29">
        <f>+S84+S13</f>
        <v>15580</v>
      </c>
      <c r="T66" s="29">
        <f>+T84+T13</f>
        <v>17460</v>
      </c>
      <c r="U66" s="29">
        <f>+U84+U13</f>
        <v>17949</v>
      </c>
      <c r="V66" s="29">
        <f>+V84+V13</f>
        <v>21377</v>
      </c>
      <c r="W66" s="30">
        <f>SUM(S66:V66)</f>
        <v>72366</v>
      </c>
      <c r="X66" s="29">
        <f>+X84+X13</f>
        <v>18012</v>
      </c>
      <c r="Y66" s="29">
        <f>+Y84+Y13</f>
        <v>17490.657708967861</v>
      </c>
      <c r="Z66" s="29">
        <f>+Z84+Z13</f>
        <v>19062.741578270132</v>
      </c>
      <c r="AA66" s="29">
        <f>+AA84+AA13</f>
        <v>23625.300019315106</v>
      </c>
      <c r="AB66" s="30">
        <f>SUM(X66:AA66)</f>
        <v>78190.699306553099</v>
      </c>
      <c r="AC66" s="29">
        <f>+AC84+AC13</f>
        <v>21026.422355440194</v>
      </c>
      <c r="AD66" s="29">
        <f>+AD84+AD13</f>
        <v>20759.988994986077</v>
      </c>
      <c r="AE66" s="29">
        <f>+AE84+AE13</f>
        <v>23575.486088259233</v>
      </c>
      <c r="AF66" s="29">
        <f>+AF84+AF13</f>
        <v>30640.885970288502</v>
      </c>
      <c r="AG66" s="30">
        <f>SUM(AC66:AF66)</f>
        <v>96002.783408974006</v>
      </c>
    </row>
    <row r="67" spans="1:33" s="42" customFormat="1" outlineLevel="1" x14ac:dyDescent="0.3">
      <c r="A67" s="144"/>
      <c r="B67" s="213" t="s">
        <v>103</v>
      </c>
      <c r="C67" s="214"/>
      <c r="D67" s="55"/>
      <c r="E67" s="55"/>
      <c r="F67" s="55"/>
      <c r="G67" s="55"/>
      <c r="H67" s="53"/>
      <c r="I67" s="55"/>
      <c r="J67" s="55"/>
      <c r="K67" s="55"/>
      <c r="L67" s="55"/>
      <c r="M67" s="53"/>
      <c r="N67" s="55"/>
      <c r="O67" s="55"/>
      <c r="P67" s="55"/>
      <c r="Q67" s="55"/>
      <c r="R67" s="54">
        <f>+(R13+R84)/(M13+M84)-1</f>
        <v>0.36366319828794924</v>
      </c>
      <c r="S67" s="55">
        <f t="shared" ref="S67:AG67" si="10">+S66/N13-1</f>
        <v>0.30202239679090748</v>
      </c>
      <c r="T67" s="55">
        <f t="shared" si="10"/>
        <v>0.31962814602070888</v>
      </c>
      <c r="U67" s="55">
        <f t="shared" si="10"/>
        <v>0.30756902455015656</v>
      </c>
      <c r="V67" s="55">
        <f t="shared" si="10"/>
        <v>0.26386425446375794</v>
      </c>
      <c r="W67" s="146">
        <f t="shared" si="10"/>
        <v>0.29599914037035702</v>
      </c>
      <c r="X67" s="55">
        <f t="shared" si="10"/>
        <v>0.19466737414605029</v>
      </c>
      <c r="Y67" s="55">
        <f t="shared" si="10"/>
        <v>3.5808226280223954E-2</v>
      </c>
      <c r="Z67" s="55">
        <f t="shared" si="10"/>
        <v>7.99196452679658E-2</v>
      </c>
      <c r="AA67" s="55">
        <f t="shared" si="10"/>
        <v>0.12063846026539737</v>
      </c>
      <c r="AB67" s="146">
        <f t="shared" si="10"/>
        <v>0.10599741582461908</v>
      </c>
      <c r="AC67" s="55">
        <f t="shared" si="10"/>
        <v>0.18545539580764481</v>
      </c>
      <c r="AD67" s="55">
        <f t="shared" si="10"/>
        <v>0.20587835480557493</v>
      </c>
      <c r="AE67" s="55">
        <f t="shared" si="10"/>
        <v>0.24653985201946504</v>
      </c>
      <c r="AF67" s="55">
        <f t="shared" si="10"/>
        <v>0.30246525847199601</v>
      </c>
      <c r="AG67" s="146">
        <f t="shared" si="10"/>
        <v>0.24049510172658328</v>
      </c>
    </row>
    <row r="68" spans="1:33" s="42" customFormat="1" outlineLevel="1" x14ac:dyDescent="0.3">
      <c r="A68" s="144"/>
      <c r="B68" s="213" t="s">
        <v>104</v>
      </c>
      <c r="C68" s="214"/>
      <c r="D68" s="55"/>
      <c r="E68" s="55"/>
      <c r="F68" s="55"/>
      <c r="G68" s="55"/>
      <c r="H68" s="53"/>
      <c r="I68" s="55"/>
      <c r="J68" s="55"/>
      <c r="K68" s="55"/>
      <c r="L68" s="55"/>
      <c r="M68" s="53"/>
      <c r="N68" s="55"/>
      <c r="O68" s="55"/>
      <c r="P68" s="55"/>
      <c r="Q68" s="55"/>
      <c r="R68" s="54"/>
      <c r="S68" s="55">
        <f>+S66/Q66-1</f>
        <v>-9.7439462402966082E-2</v>
      </c>
      <c r="T68" s="55">
        <f>+T66/S66-1</f>
        <v>0.12066752246469825</v>
      </c>
      <c r="U68" s="55">
        <f>+U66/T66-1</f>
        <v>2.8006872852233577E-2</v>
      </c>
      <c r="V68" s="55">
        <f>+V66/U66-1</f>
        <v>0.19098557022675355</v>
      </c>
      <c r="W68" s="146"/>
      <c r="X68" s="55"/>
      <c r="Y68" s="55"/>
      <c r="Z68" s="55"/>
      <c r="AA68" s="55"/>
      <c r="AB68" s="53"/>
      <c r="AC68" s="55"/>
      <c r="AD68" s="55"/>
      <c r="AE68" s="55"/>
      <c r="AF68" s="55"/>
      <c r="AG68" s="53"/>
    </row>
    <row r="69" spans="1:33" s="42" customFormat="1" outlineLevel="1" x14ac:dyDescent="0.3">
      <c r="A69" s="144"/>
      <c r="B69" s="70" t="s">
        <v>91</v>
      </c>
      <c r="C69" s="71"/>
      <c r="D69" s="55">
        <f t="shared" ref="D69:R69" si="11">+D15/D13</f>
        <v>0.84429580081753997</v>
      </c>
      <c r="E69" s="55">
        <f t="shared" si="11"/>
        <v>0.8576755748912368</v>
      </c>
      <c r="F69" s="55">
        <f t="shared" si="11"/>
        <v>0.85922122379118526</v>
      </c>
      <c r="G69" s="55">
        <f t="shared" si="11"/>
        <v>0.88103076399137248</v>
      </c>
      <c r="H69" s="53">
        <f t="shared" si="11"/>
        <v>0.86290614371517471</v>
      </c>
      <c r="I69" s="55">
        <f t="shared" si="11"/>
        <v>0.85570219123505975</v>
      </c>
      <c r="J69" s="55">
        <f t="shared" si="11"/>
        <v>0.86728891749812254</v>
      </c>
      <c r="K69" s="55">
        <f t="shared" si="11"/>
        <v>0.85979860573199074</v>
      </c>
      <c r="L69" s="55">
        <f t="shared" si="11"/>
        <v>0.87580943570767811</v>
      </c>
      <c r="M69" s="53">
        <f t="shared" si="11"/>
        <v>0.86581556096721024</v>
      </c>
      <c r="N69" s="55">
        <f t="shared" si="11"/>
        <v>0.8389603877653351</v>
      </c>
      <c r="O69" s="55">
        <f t="shared" si="11"/>
        <v>0.83266570931902351</v>
      </c>
      <c r="P69" s="55">
        <f t="shared" si="11"/>
        <v>0.82385080498288044</v>
      </c>
      <c r="Q69" s="55">
        <f t="shared" si="11"/>
        <v>0.83469315360056762</v>
      </c>
      <c r="R69" s="54">
        <f t="shared" si="11"/>
        <v>0.8324617643898421</v>
      </c>
      <c r="S69" s="143">
        <f t="shared" ref="S69:X69" si="12">+S15/S13</f>
        <v>0.81322544272733299</v>
      </c>
      <c r="T69" s="55">
        <f t="shared" si="12"/>
        <v>0.80415729006277392</v>
      </c>
      <c r="U69" s="55">
        <f t="shared" si="12"/>
        <v>0.82126671198731027</v>
      </c>
      <c r="V69" s="55">
        <f t="shared" si="12"/>
        <v>0.83436106631249407</v>
      </c>
      <c r="W69" s="146">
        <f t="shared" si="12"/>
        <v>0.81936998741106415</v>
      </c>
      <c r="X69" s="143">
        <f t="shared" si="12"/>
        <v>0.80498393189378137</v>
      </c>
      <c r="Y69" s="60">
        <v>0.8075</v>
      </c>
      <c r="Z69" s="60">
        <v>0.8075</v>
      </c>
      <c r="AA69" s="60">
        <v>0.8125</v>
      </c>
      <c r="AB69" s="54">
        <f>+AB15/AB13</f>
        <v>0.80844325288116881</v>
      </c>
      <c r="AC69" s="60">
        <v>0.81</v>
      </c>
      <c r="AD69" s="60">
        <v>0.81</v>
      </c>
      <c r="AE69" s="60">
        <v>0.81</v>
      </c>
      <c r="AF69" s="60">
        <v>0.81</v>
      </c>
      <c r="AG69" s="54">
        <f>+AG15/AG13</f>
        <v>0.81000000000000016</v>
      </c>
    </row>
    <row r="70" spans="1:33" s="42" customFormat="1" outlineLevel="1" x14ac:dyDescent="0.3">
      <c r="A70" s="144"/>
      <c r="B70" s="70" t="s">
        <v>92</v>
      </c>
      <c r="C70" s="71"/>
      <c r="D70" s="55">
        <f t="shared" ref="D70:R70" si="13">+D17/D13</f>
        <v>0.24953548866592346</v>
      </c>
      <c r="E70" s="55">
        <f t="shared" si="13"/>
        <v>0.22731510254816656</v>
      </c>
      <c r="F70" s="55">
        <f t="shared" si="13"/>
        <v>0.21951219512195122</v>
      </c>
      <c r="G70" s="55">
        <f t="shared" si="13"/>
        <v>0.17868089453967534</v>
      </c>
      <c r="H70" s="53">
        <f t="shared" si="13"/>
        <v>0.21416166148057023</v>
      </c>
      <c r="I70" s="55">
        <f t="shared" si="13"/>
        <v>0.22833665338645417</v>
      </c>
      <c r="J70" s="55">
        <f t="shared" si="13"/>
        <v>0.20587919751099668</v>
      </c>
      <c r="K70" s="55">
        <f t="shared" si="13"/>
        <v>0.19868319132455461</v>
      </c>
      <c r="L70" s="200">
        <f t="shared" si="13"/>
        <v>0.15024668516805428</v>
      </c>
      <c r="M70" s="207">
        <f t="shared" si="13"/>
        <v>0.19073623102846038</v>
      </c>
      <c r="N70" s="200">
        <f t="shared" si="13"/>
        <v>0.18702991810128697</v>
      </c>
      <c r="O70" s="200">
        <f t="shared" si="13"/>
        <v>0.19068853450230519</v>
      </c>
      <c r="P70" s="200">
        <f t="shared" si="13"/>
        <v>0.19356013695636337</v>
      </c>
      <c r="Q70" s="200">
        <f t="shared" si="13"/>
        <v>0.16879508099798984</v>
      </c>
      <c r="R70" s="207">
        <f t="shared" si="13"/>
        <v>0.18397865253053475</v>
      </c>
      <c r="S70" s="200">
        <f>+S17/S13</f>
        <v>0.1896929097300524</v>
      </c>
      <c r="T70" s="200">
        <f>+T17/T13</f>
        <v>0.19631647518654508</v>
      </c>
      <c r="U70" s="200">
        <f>+U17/U13</f>
        <v>0.20099705415816904</v>
      </c>
      <c r="V70" s="200">
        <f>+V17/V13</f>
        <v>0.1839009581633621</v>
      </c>
      <c r="W70" s="146"/>
      <c r="X70" s="200">
        <f>+X17/X13</f>
        <v>0.22636297006258105</v>
      </c>
      <c r="Y70" s="60">
        <v>0.21</v>
      </c>
      <c r="Z70" s="60">
        <v>0.2</v>
      </c>
      <c r="AA70" s="60">
        <v>0.19500000000000001</v>
      </c>
      <c r="AB70" s="54"/>
      <c r="AC70" s="60">
        <v>0.2</v>
      </c>
      <c r="AD70" s="60">
        <v>0.2</v>
      </c>
      <c r="AE70" s="60">
        <v>0.2</v>
      </c>
      <c r="AF70" s="60">
        <v>0.2</v>
      </c>
      <c r="AG70" s="54"/>
    </row>
    <row r="71" spans="1:33" s="42" customFormat="1" outlineLevel="1" x14ac:dyDescent="0.3">
      <c r="A71" s="144"/>
      <c r="B71" s="70" t="s">
        <v>93</v>
      </c>
      <c r="C71" s="71"/>
      <c r="D71" s="55">
        <f t="shared" ref="D71:R71" si="14">+D18/D13</f>
        <v>0.15347454477889261</v>
      </c>
      <c r="E71" s="55">
        <f t="shared" si="14"/>
        <v>0.1396830329397141</v>
      </c>
      <c r="F71" s="55">
        <f t="shared" si="14"/>
        <v>0.13193552988161461</v>
      </c>
      <c r="G71" s="55">
        <f t="shared" si="14"/>
        <v>0.12736973549778635</v>
      </c>
      <c r="H71" s="53">
        <f t="shared" si="14"/>
        <v>0.13647876112598595</v>
      </c>
      <c r="I71" s="55">
        <f t="shared" si="14"/>
        <v>0.13159860557768924</v>
      </c>
      <c r="J71" s="55">
        <f t="shared" si="14"/>
        <v>0.12058791975109967</v>
      </c>
      <c r="K71" s="55">
        <f t="shared" si="14"/>
        <v>0.11328427575522851</v>
      </c>
      <c r="L71" s="55">
        <f t="shared" si="14"/>
        <v>0.1059204440333025</v>
      </c>
      <c r="M71" s="53">
        <f t="shared" si="14"/>
        <v>0.1162275846800974</v>
      </c>
      <c r="N71" s="55">
        <f t="shared" si="14"/>
        <v>0.13329433394618084</v>
      </c>
      <c r="O71" s="55">
        <f t="shared" si="14"/>
        <v>0.14020104300506386</v>
      </c>
      <c r="P71" s="55">
        <f t="shared" si="14"/>
        <v>0.14045312158519704</v>
      </c>
      <c r="Q71" s="55">
        <f t="shared" si="14"/>
        <v>0.14585550431595129</v>
      </c>
      <c r="R71" s="54">
        <f t="shared" si="14"/>
        <v>0.14049571976073641</v>
      </c>
      <c r="S71" s="55">
        <f>+S18/S13</f>
        <v>0.13397890827087616</v>
      </c>
      <c r="T71" s="55">
        <f>+T18/T13</f>
        <v>0.14295866398199691</v>
      </c>
      <c r="U71" s="55">
        <f>+U18/U13</f>
        <v>0.13686834353047814</v>
      </c>
      <c r="V71" s="55">
        <f>+V18/V13</f>
        <v>0.14353476899724885</v>
      </c>
      <c r="W71" s="146"/>
      <c r="X71" s="55">
        <f>+X18/X13</f>
        <v>0.15712916502226984</v>
      </c>
      <c r="Y71" s="60">
        <v>0.17</v>
      </c>
      <c r="Z71" s="60">
        <v>0.15</v>
      </c>
      <c r="AA71" s="60">
        <v>0.14000000000000001</v>
      </c>
      <c r="AB71" s="164"/>
      <c r="AC71" s="60">
        <v>0.14499999999999999</v>
      </c>
      <c r="AD71" s="60">
        <v>0.14499999999999999</v>
      </c>
      <c r="AE71" s="60">
        <v>0.14499999999999999</v>
      </c>
      <c r="AF71" s="60">
        <v>0.14499999999999999</v>
      </c>
      <c r="AG71" s="54"/>
    </row>
    <row r="72" spans="1:33" s="42" customFormat="1" outlineLevel="1" x14ac:dyDescent="0.3">
      <c r="A72" s="144"/>
      <c r="B72" s="70" t="s">
        <v>94</v>
      </c>
      <c r="C72" s="71"/>
      <c r="D72" s="55">
        <f t="shared" ref="D72:R72" si="15">+D19/D13</f>
        <v>6.8004459308807136E-2</v>
      </c>
      <c r="E72" s="55">
        <f t="shared" si="15"/>
        <v>6.401491609695463E-2</v>
      </c>
      <c r="F72" s="55">
        <f t="shared" si="15"/>
        <v>6.2473256311510482E-2</v>
      </c>
      <c r="G72" s="55">
        <f t="shared" si="15"/>
        <v>5.8462935634010671E-2</v>
      </c>
      <c r="H72" s="53">
        <f t="shared" si="15"/>
        <v>6.2631159997105432E-2</v>
      </c>
      <c r="I72" s="55">
        <f t="shared" si="15"/>
        <v>8.1548804780876491E-2</v>
      </c>
      <c r="J72" s="55">
        <f t="shared" si="15"/>
        <v>6.8662160712369913E-2</v>
      </c>
      <c r="K72" s="55">
        <f t="shared" si="15"/>
        <v>5.1897753679318356E-2</v>
      </c>
      <c r="L72" s="55">
        <f t="shared" si="15"/>
        <v>5.2883132901634287E-2</v>
      </c>
      <c r="M72" s="53">
        <f t="shared" si="15"/>
        <v>6.1914249870858237E-2</v>
      </c>
      <c r="N72" s="55">
        <f t="shared" si="15"/>
        <v>6.3262577302356682E-2</v>
      </c>
      <c r="O72" s="55">
        <f t="shared" si="15"/>
        <v>5.865013982314262E-2</v>
      </c>
      <c r="P72" s="55">
        <f t="shared" si="15"/>
        <v>6.8696729074087567E-2</v>
      </c>
      <c r="Q72" s="55">
        <f t="shared" si="15"/>
        <v>5.7703677426983561E-2</v>
      </c>
      <c r="R72" s="54">
        <f t="shared" si="15"/>
        <v>6.1821698484902751E-2</v>
      </c>
      <c r="S72" s="55">
        <f>+S19/S13</f>
        <v>0.26954964515487168</v>
      </c>
      <c r="T72" s="55">
        <f>+T19/T13</f>
        <v>0.19092739547554186</v>
      </c>
      <c r="U72" s="55">
        <f>+U19/U13</f>
        <v>7.6365284387038296E-2</v>
      </c>
      <c r="V72" s="55">
        <f>+V19/V13</f>
        <v>8.675647471776872E-2</v>
      </c>
      <c r="W72" s="146"/>
      <c r="X72" s="55">
        <f>+X19/X13</f>
        <v>8.9248463663528219E-2</v>
      </c>
      <c r="Y72" s="60">
        <v>0.13</v>
      </c>
      <c r="Z72" s="60">
        <v>0.12</v>
      </c>
      <c r="AA72" s="60">
        <v>0.11</v>
      </c>
      <c r="AB72" s="54"/>
      <c r="AC72" s="60">
        <v>0.105</v>
      </c>
      <c r="AD72" s="60">
        <v>0.105</v>
      </c>
      <c r="AE72" s="60">
        <v>0.105</v>
      </c>
      <c r="AF72" s="60">
        <v>0.105</v>
      </c>
      <c r="AG72" s="54"/>
    </row>
    <row r="73" spans="1:33" s="42" customFormat="1" outlineLevel="1" x14ac:dyDescent="0.3">
      <c r="A73" s="144"/>
      <c r="B73" s="158" t="s">
        <v>11</v>
      </c>
      <c r="C73" s="159"/>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51347.443098370692</v>
      </c>
      <c r="AC73" s="51"/>
      <c r="AD73" s="51"/>
      <c r="AE73" s="51"/>
      <c r="AF73" s="51"/>
      <c r="AG73" s="30">
        <f>AG14+AG17+AG18+AG19</f>
        <v>61313.781381743363</v>
      </c>
    </row>
    <row r="74" spans="1:33" s="42" customFormat="1" outlineLevel="1" x14ac:dyDescent="0.3">
      <c r="A74" s="144"/>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3">
        <f>+(W14+W17+W18+W19)/(R14+R17+R18+R19)-1</f>
        <v>0.51046079223928853</v>
      </c>
      <c r="X74" s="55">
        <f>+(X14+X17+X18+X19)/(V14+V17+V18+V19)-1</f>
        <v>-3.1086387434554941E-2</v>
      </c>
      <c r="Y74" s="55">
        <f>+(Y14+Y17+Y18+Y19)/(W14+W17+W18+W19)-1</f>
        <v>-0.74108883259724867</v>
      </c>
      <c r="Z74" s="55">
        <f>+(Z14+Z17+Z18+Z19)/(X14+X17+X18+X19)-1</f>
        <v>5.7893557548460262E-2</v>
      </c>
      <c r="AA74" s="55">
        <f>+(AA14+AA17+AA18+AA19)/(Y14+Y17+Y18+Y19)-1</f>
        <v>0.23034172544215359</v>
      </c>
      <c r="AB74" s="53">
        <f>+(AB14+AB17+AB18+AB19)/(W14+W17+W18+W19)-1</f>
        <v>9.925805695383727E-2</v>
      </c>
      <c r="AC74" s="55">
        <f>+(AC14+AC17+AC18+AC19)/(AA14+AA17+AA18+AA19)-1</f>
        <v>-9.7773264574388397E-2</v>
      </c>
      <c r="AD74" s="55">
        <f>+(AD14+AD17+AD18+AD19)/(AB14+AB17+AB18+AB19)-1</f>
        <v>-0.74186849126258314</v>
      </c>
      <c r="AE74" s="55">
        <f>+(AE14+AE17+AE18+AE19)/(AC14+AC17+AC18+AC19)-1</f>
        <v>0.12152042372268212</v>
      </c>
      <c r="AF74" s="55">
        <f>+(AF14+AF17+AF18+AF19)/(AD14+AD17+AD18+AD19)-1</f>
        <v>0.47710778492903128</v>
      </c>
      <c r="AG74" s="53">
        <f>+(AG14+AG17+AG18+AG19)/(AB14+AB17+AB18+AB19)-1</f>
        <v>0.19409609674778361</v>
      </c>
    </row>
    <row r="75" spans="1:33" s="42" customFormat="1" outlineLevel="1" x14ac:dyDescent="0.3">
      <c r="A75" s="144"/>
      <c r="B75" s="213" t="s">
        <v>4</v>
      </c>
      <c r="C75" s="214"/>
      <c r="D75" s="51">
        <f t="shared" ref="D75:AG75" si="16">D21/D13</f>
        <v>0.37328130806391674</v>
      </c>
      <c r="E75" s="51">
        <f t="shared" si="16"/>
        <v>0.42666252330640148</v>
      </c>
      <c r="F75" s="51">
        <f t="shared" si="16"/>
        <v>0.445300242476109</v>
      </c>
      <c r="G75" s="51">
        <f t="shared" si="16"/>
        <v>0.51651719831990006</v>
      </c>
      <c r="H75" s="54">
        <f t="shared" si="16"/>
        <v>0.44963456111151312</v>
      </c>
      <c r="I75" s="51">
        <f t="shared" si="16"/>
        <v>0.41421812749003983</v>
      </c>
      <c r="J75" s="51">
        <f t="shared" si="16"/>
        <v>0.47215963952365625</v>
      </c>
      <c r="K75" s="51">
        <f t="shared" si="16"/>
        <v>0.49593338497288925</v>
      </c>
      <c r="L75" s="51">
        <f t="shared" si="16"/>
        <v>0.56675917360468697</v>
      </c>
      <c r="M75" s="54">
        <f t="shared" si="16"/>
        <v>0.49693749538779425</v>
      </c>
      <c r="N75" s="51">
        <f t="shared" si="16"/>
        <v>0.45537355841551064</v>
      </c>
      <c r="O75" s="51">
        <f t="shared" si="16"/>
        <v>0.44312599198851182</v>
      </c>
      <c r="P75" s="51">
        <f t="shared" si="16"/>
        <v>0.42114081736723247</v>
      </c>
      <c r="Q75" s="51">
        <f t="shared" si="16"/>
        <v>0.46233889085964291</v>
      </c>
      <c r="R75" s="54">
        <f t="shared" si="16"/>
        <v>0.44616569361366809</v>
      </c>
      <c r="S75" s="51">
        <f t="shared" si="16"/>
        <v>0.22000397957153281</v>
      </c>
      <c r="T75" s="51">
        <f t="shared" si="16"/>
        <v>0.27395475541869002</v>
      </c>
      <c r="U75" s="51">
        <f t="shared" si="16"/>
        <v>0.40703602991162474</v>
      </c>
      <c r="V75" s="51">
        <f t="shared" si="16"/>
        <v>0.42016886443411439</v>
      </c>
      <c r="W75" s="146">
        <f t="shared" si="16"/>
        <v>0.33927889443682191</v>
      </c>
      <c r="X75" s="51">
        <f t="shared" si="16"/>
        <v>0.33224333314540228</v>
      </c>
      <c r="Y75" s="51">
        <f t="shared" si="16"/>
        <v>0.2975000000000001</v>
      </c>
      <c r="Z75" s="51">
        <f t="shared" si="16"/>
        <v>0.33749999999999997</v>
      </c>
      <c r="AA75" s="51">
        <f t="shared" si="16"/>
        <v>0.36749999999999988</v>
      </c>
      <c r="AB75" s="54">
        <f t="shared" si="16"/>
        <v>0.33651661558221868</v>
      </c>
      <c r="AC75" s="51">
        <f t="shared" si="16"/>
        <v>0.36</v>
      </c>
      <c r="AD75" s="51">
        <f t="shared" si="16"/>
        <v>0.36</v>
      </c>
      <c r="AE75" s="51">
        <f t="shared" si="16"/>
        <v>0.36000000000000004</v>
      </c>
      <c r="AF75" s="51">
        <f t="shared" si="16"/>
        <v>0.3600000000000001</v>
      </c>
      <c r="AG75" s="54">
        <f t="shared" si="16"/>
        <v>0.36000000000000015</v>
      </c>
    </row>
    <row r="76" spans="1:33" s="42" customFormat="1" outlineLevel="1" x14ac:dyDescent="0.3">
      <c r="A76" s="144"/>
      <c r="B76" s="213" t="s">
        <v>2</v>
      </c>
      <c r="C76" s="214"/>
      <c r="D76" s="51">
        <f t="shared" ref="D76:X76" si="17">-D24/D23</f>
        <v>0.26876513317191281</v>
      </c>
      <c r="E76" s="51">
        <f t="shared" si="17"/>
        <v>0.25704989154013014</v>
      </c>
      <c r="F76" s="51">
        <f t="shared" si="17"/>
        <v>0.24928999684443043</v>
      </c>
      <c r="G76" s="51">
        <f t="shared" si="17"/>
        <v>5.422753430721558E-2</v>
      </c>
      <c r="H76" s="54">
        <f t="shared" si="17"/>
        <v>0.18381530595941845</v>
      </c>
      <c r="I76" s="51">
        <f t="shared" si="17"/>
        <v>0.10093896713615023</v>
      </c>
      <c r="J76" s="51">
        <f t="shared" si="17"/>
        <v>0.13235294117647059</v>
      </c>
      <c r="K76" s="51">
        <f t="shared" si="17"/>
        <v>0.10103132161955691</v>
      </c>
      <c r="L76" s="51">
        <f t="shared" si="17"/>
        <v>0.42803537925489143</v>
      </c>
      <c r="M76" s="54">
        <f t="shared" si="17"/>
        <v>0.22632805671554823</v>
      </c>
      <c r="N76" s="51">
        <f t="shared" si="17"/>
        <v>0.11087344028520499</v>
      </c>
      <c r="O76" s="51">
        <f t="shared" si="17"/>
        <v>0.12985685071574643</v>
      </c>
      <c r="P76" s="51">
        <f t="shared" si="17"/>
        <v>0.13108930987821379</v>
      </c>
      <c r="Q76" s="51">
        <f t="shared" si="17"/>
        <v>0.13662024840045164</v>
      </c>
      <c r="R76" s="54">
        <f t="shared" si="17"/>
        <v>0.12807065967430306</v>
      </c>
      <c r="S76" s="143">
        <f t="shared" si="17"/>
        <v>0.30241240666283747</v>
      </c>
      <c r="T76" s="51">
        <f t="shared" si="17"/>
        <v>0.45860927152317882</v>
      </c>
      <c r="U76" s="51">
        <f t="shared" si="17"/>
        <v>0.16891799699822621</v>
      </c>
      <c r="V76" s="51">
        <f t="shared" si="17"/>
        <v>0.19849492856363835</v>
      </c>
      <c r="W76" s="146">
        <f t="shared" si="17"/>
        <v>0.25499758181525067</v>
      </c>
      <c r="X76" s="143">
        <f t="shared" si="17"/>
        <v>0.16362395495649207</v>
      </c>
      <c r="Y76" s="59">
        <v>0.18</v>
      </c>
      <c r="Z76" s="59">
        <v>0.18</v>
      </c>
      <c r="AA76" s="59">
        <v>0.18</v>
      </c>
      <c r="AB76" s="165">
        <f>-AB24/AB23</f>
        <v>0.17629823672844352</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0.18059393538156668</v>
      </c>
    </row>
    <row r="77" spans="1:33" ht="17.399999999999999" x14ac:dyDescent="0.45">
      <c r="A77" s="137"/>
      <c r="B77" s="208" t="s">
        <v>18</v>
      </c>
      <c r="C77" s="209"/>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7"/>
      <c r="B78" s="213" t="s">
        <v>12</v>
      </c>
      <c r="C78" s="214"/>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v>1E-3</v>
      </c>
      <c r="Z78" s="60">
        <f>AVERAGE(U78,V78,X78,Y78)</f>
        <v>1.5707977987694797E-3</v>
      </c>
      <c r="AA78" s="60">
        <f>AVERAGE(V78,X78,Y78,Z78)</f>
        <v>1.5204149367280607E-3</v>
      </c>
      <c r="AB78" s="23"/>
      <c r="AC78" s="60">
        <f>AVERAGE(X78,Y78,Z78,AA78)</f>
        <v>1.3118711586466243E-3</v>
      </c>
      <c r="AD78" s="60">
        <f>AVERAGE(Y78,Z78,AA78,AC78)</f>
        <v>1.3507709735360413E-3</v>
      </c>
      <c r="AE78" s="60">
        <f>AVERAGE(Z78,AA78,AC78,AD78)</f>
        <v>1.4384637169200514E-3</v>
      </c>
      <c r="AF78" s="60">
        <f>AVERAGE(AA78,AC78,AD78,AE78)</f>
        <v>1.4053801964576944E-3</v>
      </c>
      <c r="AG78" s="23"/>
    </row>
    <row r="79" spans="1:33" outlineLevel="1" x14ac:dyDescent="0.3">
      <c r="A79" s="137"/>
      <c r="B79" s="213" t="s">
        <v>13</v>
      </c>
      <c r="C79" s="214"/>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v>2E-3</v>
      </c>
      <c r="Z79" s="60">
        <v>2E-3</v>
      </c>
      <c r="AA79" s="60">
        <v>2E-3</v>
      </c>
      <c r="AB79" s="23"/>
      <c r="AC79" s="60">
        <f>AVERAGE(X79,Y79,Z79,AA79)</f>
        <v>1.0052083333333393E-3</v>
      </c>
      <c r="AD79" s="60">
        <f>AVERAGE(Y79,Z79,AA79,AC79)</f>
        <v>1.7513020833333347E-3</v>
      </c>
      <c r="AE79" s="60">
        <f>AVERAGE(Z79,AA79,AC79,AD79)</f>
        <v>1.6891276041666684E-3</v>
      </c>
      <c r="AF79" s="60">
        <f>AVERAGE(AA79,AC79,AD79,AE79)</f>
        <v>1.6114095052083355E-3</v>
      </c>
      <c r="AG79" s="23"/>
    </row>
    <row r="80" spans="1:33" outlineLevel="1" x14ac:dyDescent="0.3">
      <c r="A80" s="137"/>
      <c r="B80" s="213" t="s">
        <v>5</v>
      </c>
      <c r="C80" s="214"/>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5">
        <v>166.34</v>
      </c>
      <c r="T80" s="145">
        <f>((2159*180.22)+(2200*186.29)+(1800*181.21))/6159</f>
        <v>182.67754180873519</v>
      </c>
      <c r="U80" s="145">
        <f>((1980*199.28)+(1980*184.89)+(2100*185.71))/6060</f>
        <v>189.87584158415842</v>
      </c>
      <c r="V80" s="145">
        <f>((2415*184.42)+(2100*195.74)+(2205*202.02))/6720</f>
        <v>193.73250000000002</v>
      </c>
      <c r="W80" s="62"/>
      <c r="X80" s="145">
        <f>((2205*216.5)+(1995*207.57)+(2100*166.71))/6300</f>
        <v>197.07549999999998</v>
      </c>
      <c r="Y80" s="63">
        <v>207</v>
      </c>
      <c r="Z80" s="63">
        <v>230</v>
      </c>
      <c r="AA80" s="63">
        <f>Z80</f>
        <v>230</v>
      </c>
      <c r="AB80" s="62"/>
      <c r="AC80" s="63">
        <f>AA80</f>
        <v>230</v>
      </c>
      <c r="AD80" s="63">
        <f>AC80</f>
        <v>230</v>
      </c>
      <c r="AE80" s="63">
        <f>AD80</f>
        <v>230</v>
      </c>
      <c r="AF80" s="63">
        <f>AE80</f>
        <v>230</v>
      </c>
      <c r="AG80" s="62"/>
    </row>
    <row r="81" spans="1:33" outlineLevel="1" x14ac:dyDescent="0.3">
      <c r="A81" s="137"/>
      <c r="B81" s="213" t="s">
        <v>6</v>
      </c>
      <c r="C81" s="214"/>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2">
        <v>521.80858000000001</v>
      </c>
      <c r="T81" s="132">
        <f>((2159*180.22)+(2200*186.29)+(1800*181.21))/1000</f>
        <v>1125.1109799999999</v>
      </c>
      <c r="U81" s="132">
        <f>((1980*199.28)+(1980*184.89)+(2100*185.71))/1000</f>
        <v>1150.6476</v>
      </c>
      <c r="V81" s="132">
        <f>((2415*184.42)+(2100*195.74)+(2205*202.02))/1000</f>
        <v>1301.8824000000002</v>
      </c>
      <c r="W81" s="30">
        <f>+SUM(S81:V81)</f>
        <v>4099.44956</v>
      </c>
      <c r="X81" s="132">
        <f>((2205*216.5)+(1995*207.57)+(2100*166.71))/1000</f>
        <v>1241.57565</v>
      </c>
      <c r="Y81" s="58">
        <f>(AVERAGE(T81,U81,V81,X81))*1.5</f>
        <v>1807.2062362500001</v>
      </c>
      <c r="Z81" s="58">
        <f>AVERAGE(U81,V81,X81,Y81)</f>
        <v>1375.3279715625001</v>
      </c>
      <c r="AA81" s="58">
        <f>AVERAGE(V81,X81,Y81,Z81)</f>
        <v>1431.4980644531252</v>
      </c>
      <c r="AB81" s="30">
        <f>+SUM(X81:AA81)</f>
        <v>5855.6079222656253</v>
      </c>
      <c r="AC81" s="58">
        <f>AVERAGE(X81,Y81,Z81,AA81)</f>
        <v>1463.9019805664063</v>
      </c>
      <c r="AD81" s="58">
        <f>AVERAGE(Y81,Z81,AA81,AC81)</f>
        <v>1519.483563208008</v>
      </c>
      <c r="AE81" s="58">
        <f>AVERAGE(Z81,AA81,AC81,AD81)</f>
        <v>1447.5528949475101</v>
      </c>
      <c r="AF81" s="58">
        <f>AVERAGE(AA81,AC81,AD81,AE81)</f>
        <v>1465.6091257937624</v>
      </c>
      <c r="AG81" s="30">
        <f>+SUM(AC81:AF81)</f>
        <v>5896.5475645156866</v>
      </c>
    </row>
    <row r="82" spans="1:33" outlineLevel="1" x14ac:dyDescent="0.3">
      <c r="A82" s="137"/>
      <c r="B82" s="219" t="s">
        <v>17</v>
      </c>
      <c r="C82" s="220"/>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8.7304649094202897</v>
      </c>
      <c r="Z82" s="66">
        <f>IF((Z81)&gt;0,(Z81/Z80),0)</f>
        <v>5.9796868328804349</v>
      </c>
      <c r="AA82" s="66">
        <f>IF((AA81)&gt;0,(AA81/AA80),0)</f>
        <v>6.223904628057066</v>
      </c>
      <c r="AB82" s="101">
        <f>+SUM(X82:AA82)</f>
        <v>27.234056370357791</v>
      </c>
      <c r="AC82" s="66">
        <f>IF((AC81)&gt;0,(AC81/AC80),0)</f>
        <v>6.3647912198539407</v>
      </c>
      <c r="AD82" s="66">
        <f>IF((AD81)&gt;0,(AD81/AD80),0)</f>
        <v>6.6064502748174263</v>
      </c>
      <c r="AE82" s="66">
        <f>IF((AE81)&gt;0,(AE81/AE80),0)</f>
        <v>6.2937082389022176</v>
      </c>
      <c r="AF82" s="66">
        <f>IF((AF81)&gt;0,(AF81/AF80),0)</f>
        <v>6.3722135904076627</v>
      </c>
      <c r="AG82" s="101">
        <f>+SUM(AC82:AF82)</f>
        <v>25.637163323981248</v>
      </c>
    </row>
    <row r="83" spans="1:33" ht="17.399999999999999" x14ac:dyDescent="0.45">
      <c r="A83" s="137"/>
      <c r="B83" s="208" t="s">
        <v>24</v>
      </c>
      <c r="C83" s="209"/>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7"/>
      <c r="B84" s="213" t="s">
        <v>95</v>
      </c>
      <c r="C84" s="214"/>
      <c r="D84" s="29"/>
      <c r="E84" s="29"/>
      <c r="F84" s="29"/>
      <c r="G84" s="29"/>
      <c r="H84" s="30"/>
      <c r="I84" s="29">
        <v>-536</v>
      </c>
      <c r="J84" s="29">
        <v>-373</v>
      </c>
      <c r="K84" s="29">
        <v>159</v>
      </c>
      <c r="L84" s="29">
        <v>348</v>
      </c>
      <c r="M84" s="30"/>
      <c r="N84" s="29">
        <v>-536</v>
      </c>
      <c r="O84" s="29">
        <v>-373</v>
      </c>
      <c r="P84" s="29">
        <v>159</v>
      </c>
      <c r="Q84" s="29">
        <v>348</v>
      </c>
      <c r="R84" s="30">
        <v>-401</v>
      </c>
      <c r="S84" s="132">
        <v>503</v>
      </c>
      <c r="T84" s="132">
        <v>574</v>
      </c>
      <c r="U84" s="132">
        <v>297</v>
      </c>
      <c r="V84" s="132">
        <v>295</v>
      </c>
      <c r="W84" s="127">
        <f>SUM(S84:V84)</f>
        <v>1669</v>
      </c>
      <c r="X84" s="132">
        <v>275</v>
      </c>
      <c r="Y84" s="58">
        <f>X84</f>
        <v>275</v>
      </c>
      <c r="Z84" s="58">
        <v>150</v>
      </c>
      <c r="AA84" s="58">
        <v>100</v>
      </c>
      <c r="AB84" s="30">
        <f>SUM(X84:AA84)</f>
        <v>800</v>
      </c>
      <c r="AC84" s="58">
        <v>50</v>
      </c>
      <c r="AD84" s="58">
        <f>AC84</f>
        <v>50</v>
      </c>
      <c r="AE84" s="58">
        <f>AD84</f>
        <v>50</v>
      </c>
      <c r="AF84" s="58">
        <f>AE84</f>
        <v>50</v>
      </c>
      <c r="AG84" s="30">
        <f>SUM(AC84:AF84)</f>
        <v>200</v>
      </c>
    </row>
    <row r="85" spans="1:33" ht="17.399999999999999" x14ac:dyDescent="0.45">
      <c r="A85" s="137"/>
      <c r="B85" s="208" t="s">
        <v>96</v>
      </c>
      <c r="C85" s="209"/>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7"/>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2">
        <v>87</v>
      </c>
      <c r="T86" s="132">
        <v>109</v>
      </c>
      <c r="U86" s="132">
        <v>91</v>
      </c>
      <c r="V86" s="132">
        <f>377-U86-T86-S86</f>
        <v>90</v>
      </c>
      <c r="W86" s="30">
        <f>SUM(S86:V86)</f>
        <v>377</v>
      </c>
      <c r="X86" s="132">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7"/>
      <c r="B87" s="70" t="s">
        <v>99</v>
      </c>
      <c r="C87" s="102"/>
      <c r="D87" s="88"/>
      <c r="E87" s="88"/>
      <c r="F87" s="88"/>
      <c r="G87" s="29"/>
      <c r="H87" s="103"/>
      <c r="I87" s="29">
        <v>670</v>
      </c>
      <c r="J87" s="29">
        <v>787</v>
      </c>
      <c r="K87" s="29">
        <v>776</v>
      </c>
      <c r="L87" s="29">
        <v>587</v>
      </c>
      <c r="M87" s="103">
        <v>2820</v>
      </c>
      <c r="N87" s="29">
        <v>718</v>
      </c>
      <c r="O87" s="29">
        <v>881</v>
      </c>
      <c r="P87" s="29">
        <v>748</v>
      </c>
      <c r="Q87" s="85">
        <v>675</v>
      </c>
      <c r="R87" s="30">
        <f>SUM(N87:Q87)</f>
        <v>3022</v>
      </c>
      <c r="S87" s="132">
        <v>723</v>
      </c>
      <c r="T87" s="132">
        <v>927</v>
      </c>
      <c r="U87" s="132">
        <v>907</v>
      </c>
      <c r="V87" s="132">
        <f>3488-U87-T87-S87</f>
        <v>931</v>
      </c>
      <c r="W87" s="30">
        <f>SUM(S87:V87)</f>
        <v>3488</v>
      </c>
      <c r="X87" s="132">
        <v>999</v>
      </c>
      <c r="Y87" s="58">
        <v>900</v>
      </c>
      <c r="Z87" s="58">
        <f>AVERAGE(U87,V87,X87,Y87)</f>
        <v>934.25</v>
      </c>
      <c r="AA87" s="58">
        <f>AVERAGE(V87,X87,Y87,Z87)</f>
        <v>941.0625</v>
      </c>
      <c r="AB87" s="30">
        <f>SUM(X87:AA87)</f>
        <v>3774.3125</v>
      </c>
      <c r="AC87" s="58">
        <f>AVERAGE(X87,Y87,Z87,AA87)</f>
        <v>943.578125</v>
      </c>
      <c r="AD87" s="58">
        <f>AVERAGE(Y87,Z87,AA87,AC87)</f>
        <v>929.72265625</v>
      </c>
      <c r="AE87" s="58">
        <f>AVERAGE(Z87,AA87,AC87,AD87)</f>
        <v>937.1533203125</v>
      </c>
      <c r="AF87" s="58">
        <f>AVERAGE(AA87,AC87,AD87,AE87)</f>
        <v>937.879150390625</v>
      </c>
      <c r="AG87" s="30">
        <f>SUM(AC87:AF87)</f>
        <v>3748.333251953125</v>
      </c>
    </row>
    <row r="88" spans="1:33" outlineLevel="1" x14ac:dyDescent="0.3">
      <c r="A88" s="137"/>
      <c r="B88" s="70" t="s">
        <v>98</v>
      </c>
      <c r="C88" s="71"/>
      <c r="D88" s="29"/>
      <c r="E88" s="29"/>
      <c r="F88" s="29"/>
      <c r="G88" s="29"/>
      <c r="H88" s="30"/>
      <c r="I88" s="29">
        <v>96</v>
      </c>
      <c r="J88" s="29">
        <v>120</v>
      </c>
      <c r="K88" s="29">
        <v>114</v>
      </c>
      <c r="L88" s="29">
        <v>106</v>
      </c>
      <c r="M88" s="30"/>
      <c r="N88" s="29">
        <v>109</v>
      </c>
      <c r="O88" s="29">
        <v>139</v>
      </c>
      <c r="P88" s="29">
        <v>133</v>
      </c>
      <c r="Q88" s="85">
        <v>130</v>
      </c>
      <c r="R88" s="30">
        <f>SUM(N88:Q88)</f>
        <v>511</v>
      </c>
      <c r="S88" s="132">
        <v>113</v>
      </c>
      <c r="T88" s="132">
        <v>160</v>
      </c>
      <c r="U88" s="132">
        <v>148</v>
      </c>
      <c r="V88" s="132">
        <f>569-U88-T88-S88</f>
        <v>148</v>
      </c>
      <c r="W88" s="30">
        <f>SUM(S88:V88)</f>
        <v>569</v>
      </c>
      <c r="X88" s="132">
        <v>149</v>
      </c>
      <c r="Y88" s="58">
        <f>AVERAGE(T88,U88,V88,X88)</f>
        <v>151.25</v>
      </c>
      <c r="Z88" s="58">
        <f>AVERAGE(U88,V88,X88,Y88)</f>
        <v>149.0625</v>
      </c>
      <c r="AA88" s="58">
        <f>AVERAGE(V88,X88,Y88,Z88)</f>
        <v>149.328125</v>
      </c>
      <c r="AB88" s="30">
        <f>SUM(X88:AA88)</f>
        <v>598.640625</v>
      </c>
      <c r="AC88" s="58">
        <f>AVERAGE(X88,Y88,Z88,AA88)</f>
        <v>149.66015625</v>
      </c>
      <c r="AD88" s="58">
        <f>AVERAGE(Y88,Z88,AA88,AC88)</f>
        <v>149.8251953125</v>
      </c>
      <c r="AE88" s="58">
        <f>AVERAGE(Z88,AA88,AC88,AD88)</f>
        <v>149.468994140625</v>
      </c>
      <c r="AF88" s="58">
        <f>AVERAGE(AA88,AC88,AD88,AE88)</f>
        <v>149.57061767578125</v>
      </c>
      <c r="AG88" s="30">
        <f>SUM(AC88:AF88)</f>
        <v>598.52496337890625</v>
      </c>
    </row>
    <row r="89" spans="1:33" outlineLevel="1" x14ac:dyDescent="0.3">
      <c r="A89" s="137"/>
      <c r="B89" s="76" t="s">
        <v>97</v>
      </c>
      <c r="C89" s="89"/>
      <c r="D89" s="67"/>
      <c r="E89" s="67"/>
      <c r="F89" s="67"/>
      <c r="G89" s="67"/>
      <c r="H89" s="68"/>
      <c r="I89" s="67">
        <v>67</v>
      </c>
      <c r="J89" s="67">
        <v>78</v>
      </c>
      <c r="K89" s="67">
        <v>73</v>
      </c>
      <c r="L89" s="67">
        <v>71</v>
      </c>
      <c r="M89" s="68"/>
      <c r="N89" s="67">
        <v>72</v>
      </c>
      <c r="O89" s="67">
        <v>92</v>
      </c>
      <c r="P89" s="67">
        <v>87</v>
      </c>
      <c r="Q89" s="104">
        <v>84</v>
      </c>
      <c r="R89" s="68">
        <f>SUM(N89:Q89)</f>
        <v>335</v>
      </c>
      <c r="S89" s="148">
        <v>87</v>
      </c>
      <c r="T89" s="156">
        <v>107</v>
      </c>
      <c r="U89" s="156">
        <v>103</v>
      </c>
      <c r="V89" s="161">
        <f>402-U89-T89-S89</f>
        <v>105</v>
      </c>
      <c r="W89" s="68">
        <f>SUM(S89:V89)</f>
        <v>402</v>
      </c>
      <c r="X89" s="148">
        <v>93</v>
      </c>
      <c r="Y89" s="77">
        <f>AVERAGE(T89,U89,V89,X89)</f>
        <v>102</v>
      </c>
      <c r="Z89" s="77">
        <f>AVERAGE(U89,V89,X89,Y89)</f>
        <v>100.75</v>
      </c>
      <c r="AA89" s="106">
        <f>AVERAGE(V89,X89,Y89,Z89)</f>
        <v>100.1875</v>
      </c>
      <c r="AB89" s="68">
        <f>SUM(X89:AA89)</f>
        <v>395.9375</v>
      </c>
      <c r="AC89" s="105">
        <f>AVERAGE(X89,Y89,Z89,AA89)</f>
        <v>98.984375</v>
      </c>
      <c r="AD89" s="77">
        <f>AVERAGE(Y89,Z89,AA89,AC89)</f>
        <v>100.48046875</v>
      </c>
      <c r="AE89" s="77">
        <f>AVERAGE(Z89,AA89,AC89,AD89)</f>
        <v>100.1005859375</v>
      </c>
      <c r="AF89" s="106">
        <f>AVERAGE(AA89,AC89,AD89,AE89)</f>
        <v>99.938232421875</v>
      </c>
      <c r="AG89" s="68">
        <f>SUM(AC89:AF89)</f>
        <v>399.503662109375</v>
      </c>
    </row>
    <row r="90" spans="1:33" x14ac:dyDescent="0.3">
      <c r="A90" s="137"/>
      <c r="B90" s="20"/>
      <c r="C90" s="20"/>
      <c r="F90" s="3"/>
      <c r="G90" s="3"/>
      <c r="H90" s="3"/>
      <c r="I90" s="151"/>
      <c r="J90" s="151"/>
      <c r="K90" s="151"/>
      <c r="L90" s="151"/>
      <c r="M90" s="84"/>
      <c r="N90" s="151"/>
      <c r="O90" s="151"/>
      <c r="P90" s="151"/>
      <c r="Q90" s="151"/>
      <c r="R90" s="16"/>
      <c r="S90" s="151"/>
      <c r="T90" s="151"/>
      <c r="U90" s="151"/>
      <c r="V90" s="151"/>
      <c r="W90" s="84"/>
      <c r="Z90" s="3"/>
      <c r="AA90" s="3"/>
      <c r="AB90" s="84"/>
      <c r="AE90" s="3"/>
      <c r="AF90" s="3"/>
      <c r="AG90" s="84"/>
    </row>
    <row r="95" spans="1:33" x14ac:dyDescent="0.3">
      <c r="O95" s="11"/>
    </row>
    <row r="96" spans="1:33" x14ac:dyDescent="0.3">
      <c r="O96" s="11"/>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7"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ignoredErrors>
    <ignoredError sqref="Y4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33"/>
      <c r="I7" s="233"/>
      <c r="J7" s="233"/>
      <c r="K7" s="233"/>
      <c r="L7" s="233"/>
      <c r="M7" s="233"/>
      <c r="N7" s="233"/>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2020-07-25T18:24:00Z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