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7001A5A2-4320-4E3B-82EA-5E7281ECFBB4}" xr6:coauthVersionLast="45" xr6:coauthVersionMax="45" xr10:uidLastSave="{00000000-0000-0000-0000-000000000000}"/>
  <bookViews>
    <workbookView xWindow="-108" yWindow="-108" windowWidth="23256" windowHeight="13176"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87" i="3" l="1"/>
  <c r="D15" i="3"/>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2" i="3"/>
  <c r="V23" i="3"/>
  <c r="V24" i="3"/>
  <c r="V25" i="3"/>
  <c r="X15" i="3"/>
  <c r="X20" i="3"/>
  <c r="X21" i="3"/>
  <c r="X23" i="3"/>
  <c r="X25" i="3"/>
  <c r="T81" i="3"/>
  <c r="U81" i="3"/>
  <c r="V81" i="3"/>
  <c r="X81" i="3"/>
  <c r="Y81" i="3"/>
  <c r="T43" i="3"/>
  <c r="U43" i="3"/>
  <c r="V43" i="3"/>
  <c r="X43" i="3"/>
  <c r="Y42" i="3"/>
  <c r="T53" i="3"/>
  <c r="U53" i="3"/>
  <c r="V53" i="3"/>
  <c r="X53" i="3"/>
  <c r="Y53" i="3"/>
  <c r="Y52" i="3"/>
  <c r="Y36" i="3"/>
  <c r="T45" i="3"/>
  <c r="U45" i="3"/>
  <c r="V45" i="3"/>
  <c r="X45" i="3"/>
  <c r="Y44" i="3"/>
  <c r="T55" i="3"/>
  <c r="U55" i="3"/>
  <c r="V55" i="3"/>
  <c r="X55" i="3"/>
  <c r="Y54" i="3"/>
  <c r="Y37" i="3"/>
  <c r="T47" i="3"/>
  <c r="U47" i="3"/>
  <c r="V47" i="3"/>
  <c r="X47" i="3"/>
  <c r="Y46" i="3"/>
  <c r="T57" i="3"/>
  <c r="U57" i="3"/>
  <c r="V57" i="3"/>
  <c r="X57" i="3"/>
  <c r="Y56" i="3"/>
  <c r="Y38" i="3"/>
  <c r="T49" i="3"/>
  <c r="U49" i="3"/>
  <c r="V49" i="3"/>
  <c r="X49" i="3"/>
  <c r="Y48" i="3"/>
  <c r="T59" i="3"/>
  <c r="U59" i="3"/>
  <c r="V59" i="3"/>
  <c r="X59" i="3"/>
  <c r="Y58" i="3"/>
  <c r="Y39" i="3"/>
  <c r="Y40" i="3"/>
  <c r="Y13" i="3"/>
  <c r="Y14" i="3"/>
  <c r="Y15" i="3"/>
  <c r="Y17" i="3"/>
  <c r="Y18" i="3"/>
  <c r="Y19" i="3"/>
  <c r="Y20" i="3"/>
  <c r="Y21" i="3"/>
  <c r="Y23" i="3"/>
  <c r="Y24" i="3"/>
  <c r="Y25" i="3"/>
  <c r="Z42" i="3"/>
  <c r="Z52" i="3"/>
  <c r="Z36" i="3"/>
  <c r="Z44" i="3"/>
  <c r="Z54" i="3"/>
  <c r="Z37" i="3"/>
  <c r="Z46" i="3"/>
  <c r="Z56" i="3"/>
  <c r="Z38" i="3"/>
  <c r="Z49" i="3"/>
  <c r="Z48" i="3"/>
  <c r="Z58" i="3"/>
  <c r="Z39" i="3"/>
  <c r="Z40" i="3"/>
  <c r="Z13" i="3"/>
  <c r="Z14" i="3"/>
  <c r="Z15" i="3"/>
  <c r="Z17" i="3"/>
  <c r="Z18" i="3"/>
  <c r="Z19" i="3"/>
  <c r="Z20" i="3"/>
  <c r="Z21" i="3"/>
  <c r="Z23" i="3"/>
  <c r="Z24" i="3"/>
  <c r="Z25" i="3"/>
  <c r="AA42" i="3"/>
  <c r="AA52" i="3"/>
  <c r="AA36" i="3"/>
  <c r="AA44" i="3"/>
  <c r="AA54" i="3"/>
  <c r="AA37" i="3"/>
  <c r="AA46" i="3"/>
  <c r="AA56" i="3"/>
  <c r="AA38" i="3"/>
  <c r="AA49" i="3"/>
  <c r="AA48" i="3"/>
  <c r="AA58" i="3"/>
  <c r="AA39" i="3"/>
  <c r="AA40" i="3"/>
  <c r="AA13" i="3"/>
  <c r="AA14" i="3"/>
  <c r="AA15" i="3"/>
  <c r="AA17" i="3"/>
  <c r="AA18" i="3"/>
  <c r="AA19" i="3"/>
  <c r="AA20" i="3"/>
  <c r="AA21" i="3"/>
  <c r="AA23" i="3"/>
  <c r="AA24" i="3"/>
  <c r="AA25" i="3"/>
  <c r="AC42" i="3"/>
  <c r="AC52" i="3"/>
  <c r="AC36" i="3"/>
  <c r="AC44" i="3"/>
  <c r="AC54" i="3"/>
  <c r="AC37" i="3"/>
  <c r="AC46" i="3"/>
  <c r="AC57" i="3"/>
  <c r="AC56" i="3"/>
  <c r="AC38" i="3"/>
  <c r="AC48" i="3"/>
  <c r="AC58" i="3"/>
  <c r="AC39" i="3"/>
  <c r="AC40" i="3"/>
  <c r="AC13" i="3"/>
  <c r="AC14" i="3"/>
  <c r="AC15" i="3"/>
  <c r="AC17" i="3"/>
  <c r="AC18" i="3"/>
  <c r="AC19" i="3"/>
  <c r="AC20" i="3"/>
  <c r="AC21" i="3"/>
  <c r="AC23" i="3"/>
  <c r="X76" i="3"/>
  <c r="AC76" i="3"/>
  <c r="AC24" i="3"/>
  <c r="AC25" i="3"/>
  <c r="AD42" i="3"/>
  <c r="AD52" i="3"/>
  <c r="AD36" i="3"/>
  <c r="AD44" i="3"/>
  <c r="AD54" i="3"/>
  <c r="AD37" i="3"/>
  <c r="AD46" i="3"/>
  <c r="AD56" i="3"/>
  <c r="AD38" i="3"/>
  <c r="AD48" i="3"/>
  <c r="AD59" i="3"/>
  <c r="AD58" i="3"/>
  <c r="AD39" i="3"/>
  <c r="AD40" i="3"/>
  <c r="AD13" i="3"/>
  <c r="AD14" i="3"/>
  <c r="AD15" i="3"/>
  <c r="AD17" i="3"/>
  <c r="AD18" i="3"/>
  <c r="AD19" i="3"/>
  <c r="AD20" i="3"/>
  <c r="AD21" i="3"/>
  <c r="AD23" i="3"/>
  <c r="AD76" i="3"/>
  <c r="AD24" i="3"/>
  <c r="AD25" i="3"/>
  <c r="AE42" i="3"/>
  <c r="AE52" i="3"/>
  <c r="AE36" i="3"/>
  <c r="AE44" i="3"/>
  <c r="AE54" i="3"/>
  <c r="AE37" i="3"/>
  <c r="AE46" i="3"/>
  <c r="AE57" i="3"/>
  <c r="AE56" i="3"/>
  <c r="AE38" i="3"/>
  <c r="AE48" i="3"/>
  <c r="AE59" i="3"/>
  <c r="AE58" i="3"/>
  <c r="AE39" i="3"/>
  <c r="AE40" i="3"/>
  <c r="AE13" i="3"/>
  <c r="AE14" i="3"/>
  <c r="AE15" i="3"/>
  <c r="AE17" i="3"/>
  <c r="AE18" i="3"/>
  <c r="AE19" i="3"/>
  <c r="AE20" i="3"/>
  <c r="AE21" i="3"/>
  <c r="AE23" i="3"/>
  <c r="AE76" i="3"/>
  <c r="AE24" i="3"/>
  <c r="AE25" i="3"/>
  <c r="AF42" i="3"/>
  <c r="AF52" i="3"/>
  <c r="AF36" i="3"/>
  <c r="AF44" i="3"/>
  <c r="AF54" i="3"/>
  <c r="AF37" i="3"/>
  <c r="AF47" i="3"/>
  <c r="AF46" i="3"/>
  <c r="AF57" i="3"/>
  <c r="AF56" i="3"/>
  <c r="AF38" i="3"/>
  <c r="AF48" i="3"/>
  <c r="AF59" i="3"/>
  <c r="AF58" i="3"/>
  <c r="AF39" i="3"/>
  <c r="AF40" i="3"/>
  <c r="AF13" i="3"/>
  <c r="AF14" i="3"/>
  <c r="AF15" i="3"/>
  <c r="AF70" i="3"/>
  <c r="AF17" i="3"/>
  <c r="AF18" i="3"/>
  <c r="AF19" i="3"/>
  <c r="AF20" i="3"/>
  <c r="AF21" i="3"/>
  <c r="AF23" i="3"/>
  <c r="AF76" i="3"/>
  <c r="AF24" i="3"/>
  <c r="AF25"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13" i="3"/>
  <c r="AB14" i="3"/>
  <c r="AB15" i="3"/>
  <c r="AB17" i="3"/>
  <c r="AB18" i="3"/>
  <c r="AB19" i="3"/>
  <c r="AB20" i="3"/>
  <c r="AB21" i="3"/>
  <c r="AB22" i="3"/>
  <c r="AB23" i="3"/>
  <c r="AB24" i="3"/>
  <c r="AB25" i="3"/>
  <c r="AG13" i="3"/>
  <c r="AG14" i="3"/>
  <c r="AG15" i="3"/>
  <c r="AG17" i="3"/>
  <c r="AG18" i="3"/>
  <c r="AG19" i="3"/>
  <c r="AG20" i="3"/>
  <c r="AG21" i="3"/>
  <c r="AG22" i="3"/>
  <c r="AG23" i="3"/>
  <c r="AG24" i="3"/>
  <c r="AG25" i="3"/>
  <c r="W29" i="3"/>
  <c r="T80" i="3"/>
  <c r="T82" i="3"/>
  <c r="T79" i="3"/>
  <c r="U80" i="3"/>
  <c r="U82" i="3"/>
  <c r="U79" i="3"/>
  <c r="V80" i="3"/>
  <c r="V82" i="3"/>
  <c r="V79" i="3"/>
  <c r="X80" i="3"/>
  <c r="X82" i="3"/>
  <c r="X79" i="3"/>
  <c r="Y79" i="3"/>
  <c r="Y82" i="3"/>
  <c r="Y29" i="3"/>
  <c r="Z79" i="3"/>
  <c r="Z82" i="3"/>
  <c r="Z29" i="3"/>
  <c r="AA79" i="3"/>
  <c r="AA82" i="3"/>
  <c r="AA29" i="3"/>
  <c r="AB29" i="3"/>
  <c r="AC79" i="3"/>
  <c r="AC82" i="3"/>
  <c r="AC29" i="3"/>
  <c r="AD79" i="3"/>
  <c r="AD82" i="3"/>
  <c r="AD29" i="3"/>
  <c r="AE79" i="3"/>
  <c r="AE82" i="3"/>
  <c r="AE29" i="3"/>
  <c r="AF79" i="3"/>
  <c r="AF82" i="3"/>
  <c r="AF29" i="3"/>
  <c r="AG29" i="3"/>
  <c r="U31" i="3"/>
  <c r="V31" i="3"/>
  <c r="X31" i="3"/>
  <c r="Y31" i="3"/>
  <c r="Y84" i="3"/>
  <c r="X69" i="3"/>
  <c r="X70" i="3"/>
  <c r="X71" i="3"/>
  <c r="X72" i="3"/>
  <c r="AG73" i="3"/>
  <c r="AB73" i="3"/>
  <c r="W73" i="3"/>
  <c r="R73" i="3"/>
  <c r="M73" i="3"/>
  <c r="H73" i="3"/>
  <c r="T76" i="3"/>
  <c r="U76" i="3"/>
  <c r="V76" i="3"/>
  <c r="X78" i="3"/>
  <c r="V78" i="3"/>
  <c r="V69" i="3"/>
  <c r="V70" i="3"/>
  <c r="V71" i="3"/>
  <c r="V72" i="3"/>
  <c r="V89" i="3"/>
  <c r="V88" i="3"/>
  <c r="V87" i="3"/>
  <c r="V86" i="3"/>
  <c r="AF89" i="3"/>
  <c r="Y88" i="3"/>
  <c r="Y87"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B76" i="3"/>
  <c r="AG69" i="3"/>
  <c r="AE27" i="3"/>
  <c r="AF75" i="3"/>
  <c r="AG74" i="3"/>
  <c r="AG75" i="3"/>
  <c r="AG76" i="3"/>
  <c r="AD27" i="3"/>
  <c r="AG27" i="3"/>
  <c r="AF27" i="3"/>
  <c r="V30" i="3"/>
  <c r="U30" i="3"/>
  <c r="Z31" i="3"/>
  <c r="Y78"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31"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tc={EFE36E84-3C0A-4E9A-BBF7-DD88E375FA65}</author>
    <author>Karan Gupta</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22" authorId="1" shapeId="0" xr:uid="{EFE36E84-3C0A-4E9A-BBF7-DD88E375FA6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expenses will be increase in the long term. As FB wants to diversify its revenue sources, it will spend more on R&amp;D. They are currently researching heavily into virtual gaming.</t>
        </r>
      </text>
    </comment>
    <comment ref="Y31" authorId="0" shapeId="0" xr:uid="{1139567B-CDB2-4F27-9D2D-8164BFFEA73D}">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sz val="9"/>
            <color indexed="81"/>
            <rFont val="Tahoma"/>
            <family val="2"/>
          </rPr>
          <t xml:space="preserve">As quarantine is extended in the U.S, there will be an increase in MAU's for 2020, and it will slow down in the next year. Same for Europe. In regards to Asia and rest of the world, more people are gaving access to technology. Because of this, there is more growth in these areas. Hence, the higher rates of growth. </t>
        </r>
      </text>
    </comment>
    <comment ref="Y53" authorId="0" shapeId="0" xr:uid="{EB180744-0605-4677-8197-E126E6D6DF86}">
      <text>
        <r>
          <rPr>
            <sz val="9"/>
            <color indexed="81"/>
            <rFont val="Tahoma"/>
            <family val="2"/>
          </rPr>
          <t xml:space="preserve">As ad boycotts rise and as people cut spending on advertising to avoid costs, 2020 is looking like a rough year for FB in terms of ARPU. As the economy recovers faster in China, there will be a faster return ARPU. Also in 2020, there is the elections, which can be a volatile time for Facebook. I remain conservative on Facebook in terms of ARPU, but they are expanding to other income sources. </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sz val="9"/>
            <color indexed="81"/>
            <rFont val="Tahoma"/>
            <family val="2"/>
          </rPr>
          <t xml:space="preserve">Gross Margin will stay the same. FB has continously been focusing on cutting costs, in which they will. Especially in G&amp;A, as there is trend for WFH. R&amp;D will continously increase as FB revenues increase. As they shift towards VR and other revenue streams in emerging markets (bought some stake in Reliance JIO), R&amp;D will increase.  </t>
        </r>
      </text>
    </comment>
    <comment ref="AB73" authorId="0" shapeId="0" xr:uid="{08A898E8-7F7A-414E-815F-EC25D459F691}">
      <text>
        <r>
          <rPr>
            <b/>
            <sz val="9"/>
            <color indexed="81"/>
            <rFont val="Tahoma"/>
            <family val="2"/>
          </rPr>
          <t>Management Guidance:</t>
        </r>
        <r>
          <rPr>
            <sz val="9"/>
            <color indexed="81"/>
            <rFont val="Tahoma"/>
            <family val="2"/>
          </rPr>
          <t xml:space="preserve"> "We expect total expenses in 2020 to be between $52-56 billion, down from the prior range of $54-59 billion."
</t>
        </r>
        <r>
          <rPr>
            <b/>
            <sz val="9"/>
            <color indexed="81"/>
            <rFont val="Tahoma"/>
            <family val="2"/>
          </rPr>
          <t xml:space="preserve">Source: </t>
        </r>
        <r>
          <rPr>
            <sz val="9"/>
            <color indexed="81"/>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indexed="81"/>
            <rFont val="Tahoma"/>
            <family val="2"/>
          </rPr>
          <t xml:space="preserve">Management Guidance: </t>
        </r>
        <r>
          <rPr>
            <sz val="9"/>
            <color indexed="81"/>
            <rFont val="Tahoma"/>
            <family val="2"/>
          </rPr>
          <t xml:space="preserve">"We expect our full-year 2020 tax rate will be in the high-teens, although we may see fluctuations in our quarterly rate depending on our financial results."
Tax fluctuates so I did not change it, as it averages out. 
</t>
        </r>
      </text>
    </comment>
    <comment ref="Y80" authorId="2" shapeId="0" xr:uid="{21ED1B60-9E59-4F52-BA99-2008A5F0BA47}">
      <text>
        <r>
          <rPr>
            <b/>
            <sz val="9"/>
            <color indexed="81"/>
            <rFont val="Tahoma"/>
            <family val="2"/>
          </rPr>
          <t>Karan Gupta:</t>
        </r>
        <r>
          <rPr>
            <sz val="9"/>
            <color indexed="81"/>
            <rFont val="Tahoma"/>
            <family val="2"/>
          </rPr>
          <t xml:space="preserve">
Share price may stay in this range for 2020 because of the upcoming elections. It also matters who is elected as President that can affect the share price. In 2021, I see a more steady increase in share price.</t>
        </r>
      </text>
    </comment>
    <comment ref="Y81" authorId="2" shapeId="0" xr:uid="{B2914DFB-A39A-43F8-BBDC-237F0E4DB593}">
      <text>
        <r>
          <rPr>
            <b/>
            <sz val="9"/>
            <color indexed="81"/>
            <rFont val="Tahoma"/>
            <family val="2"/>
          </rPr>
          <t>Karan Gupta:</t>
        </r>
        <r>
          <rPr>
            <sz val="9"/>
            <color indexed="81"/>
            <rFont val="Tahoma"/>
            <family val="2"/>
          </rPr>
          <t xml:space="preserve">
I believe FB will continue their share repurchases. With a strong balance sheet, with all their cash, they will continue to repurchase shares. In 2020, the share repurchases stay the same. In 2021, they will continue to increase the repurchases. </t>
        </r>
      </text>
    </comment>
    <comment ref="Y84" authorId="2" shapeId="0" xr:uid="{086F80EA-961A-4836-8186-9BBFF7B731BA}">
      <text>
        <r>
          <rPr>
            <b/>
            <sz val="9"/>
            <color indexed="81"/>
            <rFont val="Tahoma"/>
            <family val="2"/>
          </rPr>
          <t>Karan Gupta:</t>
        </r>
        <r>
          <rPr>
            <sz val="9"/>
            <color indexed="81"/>
            <rFont val="Tahoma"/>
            <family val="2"/>
          </rPr>
          <t xml:space="preserve">
I believe will the U.S dollar will plunge, making the Euro stronger. </t>
        </r>
      </text>
    </comment>
    <comment ref="Y86" authorId="2" shapeId="0" xr:uid="{63EB1C33-B71D-4B81-BC93-9DF0091B307E}">
      <text>
        <r>
          <rPr>
            <b/>
            <sz val="9"/>
            <color indexed="81"/>
            <rFont val="Tahoma"/>
            <family val="2"/>
          </rPr>
          <t>Karan Gupta:</t>
        </r>
        <r>
          <rPr>
            <sz val="9"/>
            <color indexed="81"/>
            <rFont val="Tahoma"/>
            <family val="2"/>
          </rPr>
          <t xml:space="preserve">
Cost of Revenue will increase as FB continues to expand and find new ways to deliver advertisements to its customers. </t>
        </r>
      </text>
    </comment>
    <comment ref="Y87" authorId="2" shapeId="0" xr:uid="{9A27A193-63F9-4130-9EB6-0558A915D26D}">
      <text>
        <r>
          <rPr>
            <b/>
            <sz val="9"/>
            <color indexed="81"/>
            <rFont val="Tahoma"/>
            <family val="2"/>
          </rPr>
          <t>Karan Gupta:</t>
        </r>
        <r>
          <rPr>
            <sz val="9"/>
            <color indexed="81"/>
            <rFont val="Tahoma"/>
            <family val="2"/>
          </rPr>
          <t xml:space="preserve">
R&amp;D costs will significantly increase in my opinion as FB want to diversify. Even tough FB want to cut down on costs. </t>
        </r>
      </text>
    </comment>
    <comment ref="Y88" authorId="2" shapeId="0" xr:uid="{419903F7-F13A-4F90-BD28-7F605C86D78B}">
      <text>
        <r>
          <rPr>
            <b/>
            <sz val="9"/>
            <color indexed="81"/>
            <rFont val="Tahoma"/>
            <family val="2"/>
          </rPr>
          <t>Karan Gupta:</t>
        </r>
        <r>
          <rPr>
            <sz val="9"/>
            <color indexed="81"/>
            <rFont val="Tahoma"/>
            <family val="2"/>
          </rPr>
          <t xml:space="preserve">
This expense will maintain a steady growth. </t>
        </r>
      </text>
    </comment>
    <comment ref="Y89" authorId="2" shapeId="0" xr:uid="{CBDA0DE0-E07E-4ECC-8A3F-C72C644BE318}">
      <text>
        <r>
          <rPr>
            <b/>
            <sz val="9"/>
            <color indexed="81"/>
            <rFont val="Tahoma"/>
            <family val="2"/>
          </rPr>
          <t>Karan Gupta:</t>
        </r>
        <r>
          <rPr>
            <sz val="9"/>
            <color indexed="81"/>
            <rFont val="Tahoma"/>
            <family val="2"/>
          </rPr>
          <t xml:space="preserve">
G&amp;A will stay the same. More people working from home will offset this cost. So this will remain flat. </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<sst xmlns="http://schemas.openxmlformats.org/spreadsheetml/2006/main" count="439" uniqueCount="157">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</sst>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2659.3</c:v>
                </c:pt>
                <c:pt idx="5">
                  <c:v>2667.0965060235508</c:v>
                </c:pt>
                <c:pt idx="6">
                  <c:v>2713.5726583503174</c:v>
                </c:pt>
                <c:pt idx="7">
                  <c:v>2801.6800000000003</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6.6307131800681498</c:v>
                </c:pt>
                <c:pt idx="5">
                  <c:v>6.7617605651837591</c:v>
                </c:pt>
                <c:pt idx="6">
                  <c:v>8.2532611932987407</c:v>
                </c:pt>
                <c:pt idx="7">
                  <c:v>7.0419314510138751</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person displayName="Karan Gupta" id="{5485D7AC-9A84-4E29-910B-F5677E300C62}" userId="2fef72db86cfba0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Y22" dT="2020-07-21T02:14:21.36" personId="{5485D7AC-9A84-4E29-910B-F5677E300C62}" id="{EFE36E84-3C0A-4E9A-BBF7-DD88E375FA65}">
    <text>expenses will be increase in the long term. As FB wants to diversify its revenue sources, it will spend more on R&amp;D. They are currently researching heavily into virtual gaming.</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topLeftCell="A19" workbookViewId="0">
      <selection activeCell="B4" sqref="B4"/>
    </sheetView>
  </sheetViews>
  <sheetFormatPr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V13" activePane="bottomRight" state="frozen"/>
      <selection pane="topRight" activeCell="D1" sqref="D1"/>
      <selection pane="bottomLeft" activeCell="A13" sqref="A13"/>
      <selection pane="bottomRight" activeCell="B11" sqref="B11:C11"/>
    </sheetView>
  </sheetViews>
  <sheetFormatPr defaultColWidth="8.88671875" defaultRowHeight="14.4" outlineLevelRow="1" outlineLevelCol="1" x14ac:dyDescent="0.3"/>
  <cols>
    <col min="1" max="1" width="1.6640625" style="4" customWidth="1"/>
    <col min="2" max="2" width="37.88671875" style="4" customWidth="1"/>
    <col min="3" max="3" width="10.6640625" style="4" customWidth="1"/>
    <col min="4" max="5" width="11.5546875" style="3" hidden="1" customWidth="1" outlineLevel="1"/>
    <col min="6" max="7" width="11.5546875" style="11" hidden="1" customWidth="1" outlineLevel="1"/>
    <col min="8" max="8" width="11.5546875" style="11" customWidth="1" collapsed="1"/>
    <col min="9" max="10" width="11.5546875" style="3" hidden="1" customWidth="1" outlineLevel="1"/>
    <col min="11" max="12" width="11.5546875" style="11" hidden="1" customWidth="1" outlineLevel="1"/>
    <col min="13" max="13" width="11.5546875" style="11" customWidth="1" collapsed="1"/>
    <col min="14" max="15" width="11.5546875" style="3" hidden="1" customWidth="1" outlineLevel="1"/>
    <col min="16" max="17" width="11.5546875" style="11" hidden="1" customWidth="1" outlineLevel="1"/>
    <col min="18" max="18" width="11.5546875" style="11" customWidth="1" collapsed="1"/>
    <col min="19" max="20" width="11.5546875" style="3" customWidth="1" outlineLevel="1"/>
    <col min="21" max="22" width="11.5546875" style="11" customWidth="1" outlineLevel="1"/>
    <col min="23" max="23" width="11.5546875" style="11" customWidth="1"/>
    <col min="24" max="25" width="11.5546875" style="3" customWidth="1" outlineLevel="1"/>
    <col min="26" max="27" width="11.5546875" style="11" customWidth="1" outlineLevel="1"/>
    <col min="28" max="28" width="11.5546875" style="11" customWidth="1"/>
    <col min="29" max="30" width="11.5546875" style="3" customWidth="1" outlineLevel="1"/>
    <col min="31" max="32" width="11.5546875" style="11" customWidth="1" outlineLevel="1"/>
    <col min="33" max="33" width="11.5546875" style="11" customWidth="1"/>
    <col min="34" max="36" width="8.88671875" style="4"/>
    <col min="37" max="37" width="10.44140625" style="4" bestFit="1" customWidth="1"/>
    <col min="38" max="16384" width="8.88671875" style="4"/>
  </cols>
  <sheetData>
    <row r="1" spans="1:61" ht="9" customHeight="1" x14ac:dyDescent="0.3">
      <c r="B1" s="127" t="s">
        <v>15</v>
      </c>
    </row>
    <row r="2" spans="1:61" ht="59.25" customHeight="1" x14ac:dyDescent="0.3">
      <c r="B2" s="195" t="s">
        <v>14</v>
      </c>
      <c r="C2" s="196"/>
      <c r="K2" s="12"/>
    </row>
    <row r="3" spans="1:61" x14ac:dyDescent="0.3">
      <c r="B3" s="185" t="s">
        <v>154</v>
      </c>
      <c r="C3" s="186"/>
      <c r="D3" s="13"/>
      <c r="G3" s="14"/>
      <c r="H3" s="14"/>
    </row>
    <row r="4" spans="1:61" x14ac:dyDescent="0.3">
      <c r="B4" s="187" t="s">
        <v>155</v>
      </c>
      <c r="C4" s="188"/>
      <c r="D4" s="13"/>
      <c r="G4" s="14"/>
      <c r="H4" s="14"/>
      <c r="BI4" s="4" t="s">
        <v>15</v>
      </c>
    </row>
    <row r="5" spans="1:61" x14ac:dyDescent="0.3">
      <c r="B5" s="189" t="s">
        <v>156</v>
      </c>
      <c r="C5" s="190"/>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5"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55"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55"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55"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55" customHeight="1" x14ac:dyDescent="0.3">
      <c r="B10" s="127" t="s">
        <v>15</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61" ht="15.6" x14ac:dyDescent="0.3">
      <c r="A11" s="207"/>
      <c r="B11" s="191" t="s">
        <v>74</v>
      </c>
      <c r="C11" s="192"/>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207"/>
      <c r="B12" s="193" t="s">
        <v>3</v>
      </c>
      <c r="C12" s="194"/>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199" t="s">
        <v>19</v>
      </c>
      <c r="C13" s="200"/>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17446.400983736312</v>
      </c>
      <c r="Z13" s="133">
        <f t="shared" si="0"/>
        <v>18007.908924481304</v>
      </c>
      <c r="AA13" s="133">
        <f t="shared" si="0"/>
        <v>22204.034004153007</v>
      </c>
      <c r="AB13" s="128">
        <f>SUM(X13:AA13)</f>
        <v>75395.343912370619</v>
      </c>
      <c r="AC13" s="133">
        <f t="shared" ref="AC13:AF13" si="1">+AC40</f>
        <v>19419.015577562492</v>
      </c>
      <c r="AD13" s="133">
        <f t="shared" si="1"/>
        <v>19738.625368311659</v>
      </c>
      <c r="AE13" s="133">
        <f t="shared" si="1"/>
        <v>21407.27427415799</v>
      </c>
      <c r="AF13" s="133">
        <f t="shared" si="1"/>
        <v>27164.575922569464</v>
      </c>
      <c r="AG13" s="128">
        <f>SUM(AC13:AF13)</f>
        <v>87729.491142601604</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3663.7442065846249</v>
      </c>
      <c r="Z14" s="135">
        <f>+Z13*(1-Z69)</f>
        <v>3241.4236064066354</v>
      </c>
      <c r="AA14" s="135">
        <f>+AA13*(1-AA69)</f>
        <v>4218.7664607890702</v>
      </c>
      <c r="AB14" s="129">
        <f>SUM(X14:AA14)</f>
        <v>14582.934273780331</v>
      </c>
      <c r="AC14" s="135">
        <f>+AC13*(1-AC69)</f>
        <v>3689.6129597368722</v>
      </c>
      <c r="AD14" s="135">
        <f>+AD13*(1-AD69)</f>
        <v>3651.6456931376579</v>
      </c>
      <c r="AE14" s="135">
        <f>+AE13*(1-AE69)</f>
        <v>4281.454854831597</v>
      </c>
      <c r="AF14" s="135">
        <f>+AF13*(1-AF69)</f>
        <v>5432.9151845138913</v>
      </c>
      <c r="AG14" s="129">
        <f>SUM(AC14:AF14)</f>
        <v>17055.62869222002</v>
      </c>
    </row>
    <row r="15" spans="1:61"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13782.656777151687</v>
      </c>
      <c r="Z15" s="40">
        <f t="shared" ref="Z15" si="13">+Z13-Z14</f>
        <v>14766.485318074669</v>
      </c>
      <c r="AA15" s="40">
        <f t="shared" ref="AA15" si="14">+AA13-AA14</f>
        <v>17985.267543363938</v>
      </c>
      <c r="AB15" s="130">
        <f>+AB13-AB14</f>
        <v>60812.409638590289</v>
      </c>
      <c r="AC15" s="40">
        <f>+AC13-AC14</f>
        <v>15729.402617825619</v>
      </c>
      <c r="AD15" s="40">
        <f t="shared" ref="AD15" si="15">+AD13-AD14</f>
        <v>16086.979675174001</v>
      </c>
      <c r="AE15" s="40">
        <f t="shared" ref="AE15" si="16">+AE13-AE14</f>
        <v>17125.819419326392</v>
      </c>
      <c r="AF15" s="40">
        <f t="shared" ref="AF15" si="17">+AF13-AF14</f>
        <v>21731.660738055572</v>
      </c>
      <c r="AG15" s="130">
        <f>+AG13-AG14</f>
        <v>70673.862450381581</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4187.136236096715</v>
      </c>
      <c r="Z17" s="29">
        <f>+Z13*Z70</f>
        <v>4501.977231120326</v>
      </c>
      <c r="AA17" s="29">
        <f>+AA13*AA70</f>
        <v>5662.0286710590171</v>
      </c>
      <c r="AB17" s="128">
        <f t="shared" ref="AB17:AB19" si="22">SUM(X17:AA17)</f>
        <v>18366.14213827606</v>
      </c>
      <c r="AC17" s="29">
        <f>+AC13*AC70</f>
        <v>5340.2292838296853</v>
      </c>
      <c r="AD17" s="29">
        <f>+AD13*AD70</f>
        <v>5329.428849444148</v>
      </c>
      <c r="AE17" s="29">
        <f>+AE13*AE70</f>
        <v>5779.9640540226574</v>
      </c>
      <c r="AF17" s="29">
        <f>+AF13*AF70</f>
        <v>7334.4354990937554</v>
      </c>
      <c r="AG17" s="128">
        <f t="shared" ref="AG17:AG19" si="23">SUM(AC17:AF17)</f>
        <v>23784.057686390246</v>
      </c>
    </row>
    <row r="18" spans="1:33" x14ac:dyDescent="0.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2965.8881672351731</v>
      </c>
      <c r="Z18" s="29">
        <f>+Z13*Z71</f>
        <v>2971.3049725394153</v>
      </c>
      <c r="AA18" s="29">
        <f>+AA13*AA71</f>
        <v>3330.6051006229509</v>
      </c>
      <c r="AB18" s="128">
        <f t="shared" si="22"/>
        <v>12054.79824039754</v>
      </c>
      <c r="AC18" s="29">
        <f>+AC13*AC71</f>
        <v>2912.8523366343738</v>
      </c>
      <c r="AD18" s="29">
        <f>+AD13*AD71</f>
        <v>2862.1006784051906</v>
      </c>
      <c r="AE18" s="29">
        <f>+AE13*AE71</f>
        <v>2997.0183983821189</v>
      </c>
      <c r="AF18" s="29">
        <f>+AF13*AF71</f>
        <v>3803.0406291597251</v>
      </c>
      <c r="AG18" s="128">
        <f t="shared" si="23"/>
        <v>12575.012042581408</v>
      </c>
    </row>
    <row r="19" spans="1:33" ht="17.25" customHeight="1" x14ac:dyDescent="0.45">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2093.5681180483575</v>
      </c>
      <c r="Z19" s="34">
        <f>Z13*Z72</f>
        <v>1440.6327139585044</v>
      </c>
      <c r="AA19" s="34">
        <f>AA13*AA72</f>
        <v>1643.0985163073224</v>
      </c>
      <c r="AB19" s="129">
        <f t="shared" si="22"/>
        <v>6760.2993483141836</v>
      </c>
      <c r="AC19" s="34">
        <f>AC13*AC72</f>
        <v>1165.1409346537494</v>
      </c>
      <c r="AD19" s="34">
        <f>AD13*AD72</f>
        <v>986.93126841558296</v>
      </c>
      <c r="AE19" s="34">
        <f>AE13*AE72</f>
        <v>920.51279378879349</v>
      </c>
      <c r="AF19" s="34">
        <f>AF13*AF72</f>
        <v>1222.4059165156259</v>
      </c>
      <c r="AG19" s="129">
        <f t="shared" si="23"/>
        <v>4294.9909133737519</v>
      </c>
    </row>
    <row r="20" spans="1:33" s="39" customFormat="1" ht="17.25" customHeight="1" x14ac:dyDescent="0.45">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9246.5925213802457</v>
      </c>
      <c r="Z20" s="37">
        <f t="shared" si="24"/>
        <v>8913.9149176182455</v>
      </c>
      <c r="AA20" s="37">
        <f t="shared" si="24"/>
        <v>10635.732287989291</v>
      </c>
      <c r="AB20" s="131">
        <f t="shared" si="24"/>
        <v>37181.239726987784</v>
      </c>
      <c r="AC20" s="37">
        <f t="shared" si="24"/>
        <v>9418.222555117809</v>
      </c>
      <c r="AD20" s="37">
        <f t="shared" si="24"/>
        <v>9178.4607962649206</v>
      </c>
      <c r="AE20" s="37">
        <f t="shared" si="24"/>
        <v>9697.49524619357</v>
      </c>
      <c r="AF20" s="37">
        <f t="shared" si="24"/>
        <v>12359.882044769107</v>
      </c>
      <c r="AG20" s="131">
        <f t="shared" si="24"/>
        <v>40654.060642345408</v>
      </c>
    </row>
    <row r="21" spans="1:33" x14ac:dyDescent="0.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4536.0642557714418</v>
      </c>
      <c r="Z21" s="40">
        <f t="shared" ref="Z21" si="33">Z15-Z20</f>
        <v>5852.5704004564232</v>
      </c>
      <c r="AA21" s="40">
        <f>AA15-AA20</f>
        <v>7349.535255374647</v>
      </c>
      <c r="AB21" s="130">
        <f>AB15-AB20</f>
        <v>23631.169911602505</v>
      </c>
      <c r="AC21" s="40">
        <f>AC15-AC20</f>
        <v>6311.1800627078101</v>
      </c>
      <c r="AD21" s="40">
        <f t="shared" ref="AD21" si="34">AD15-AD20</f>
        <v>6908.5188789090807</v>
      </c>
      <c r="AE21" s="40">
        <f t="shared" ref="AE21" si="35">AE15-AE20</f>
        <v>7428.3241731328217</v>
      </c>
      <c r="AF21" s="40">
        <f>AF15-AF20</f>
        <v>9371.7786932864656</v>
      </c>
      <c r="AG21" s="130">
        <f>AG15-AG20</f>
        <v>30019.801808036173</v>
      </c>
    </row>
    <row r="22" spans="1:33" ht="16.2" x14ac:dyDescent="0.45">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v>240</v>
      </c>
      <c r="Z22" s="57">
        <v>212</v>
      </c>
      <c r="AA22" s="57">
        <v>201</v>
      </c>
      <c r="AB22" s="129">
        <f t="shared" ref="AB22" si="40">SUM(X22:AA22)</f>
        <v>621</v>
      </c>
      <c r="AC22" s="57">
        <v>287</v>
      </c>
      <c r="AD22" s="57">
        <v>244</v>
      </c>
      <c r="AE22" s="57">
        <v>290</v>
      </c>
      <c r="AF22" s="57">
        <v>312</v>
      </c>
      <c r="AG22" s="129">
        <f t="shared" ref="AG22" si="41">SUM(AC22:AF22)</f>
        <v>1133</v>
      </c>
    </row>
    <row r="23" spans="1:33" x14ac:dyDescent="0.3">
      <c r="A23" s="138"/>
      <c r="B23" s="201" t="s">
        <v>23</v>
      </c>
      <c r="C23" s="202"/>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4776.0642557714418</v>
      </c>
      <c r="Z23" s="40">
        <f t="shared" si="42"/>
        <v>6064.5704004564232</v>
      </c>
      <c r="AA23" s="40">
        <f t="shared" si="42"/>
        <v>7550.535255374647</v>
      </c>
      <c r="AB23" s="130">
        <f t="shared" si="42"/>
        <v>24252.169911602505</v>
      </c>
      <c r="AC23" s="40">
        <f t="shared" si="42"/>
        <v>6598.1800627078101</v>
      </c>
      <c r="AD23" s="40">
        <f t="shared" si="42"/>
        <v>7152.5188789090807</v>
      </c>
      <c r="AE23" s="40">
        <f t="shared" si="42"/>
        <v>7718.3241731328217</v>
      </c>
      <c r="AF23" s="40">
        <f t="shared" si="42"/>
        <v>9683.7786932864656</v>
      </c>
      <c r="AG23" s="130">
        <f t="shared" si="42"/>
        <v>31152.801808036173</v>
      </c>
    </row>
    <row r="24" spans="1:33" ht="16.2" x14ac:dyDescent="0.45">
      <c r="A24" s="138"/>
      <c r="B24" s="199" t="s">
        <v>7</v>
      </c>
      <c r="C24" s="200"/>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-859.69156603885949</v>
      </c>
      <c r="Z24" s="34">
        <f>+Z23*-Z76</f>
        <v>-1091.6226720821562</v>
      </c>
      <c r="AA24" s="34">
        <f>+AA23*-AA76</f>
        <v>-1359.0963459674365</v>
      </c>
      <c r="AB24" s="129">
        <f>SUM(X24:AA24)</f>
        <v>-4269.4105840884522</v>
      </c>
      <c r="AC24" s="34">
        <f>+AC23*-AC76</f>
        <v>-1160.6593878093859</v>
      </c>
      <c r="AD24" s="34">
        <f>+AD23*-AD76</f>
        <v>-1297.7839077205181</v>
      </c>
      <c r="AE24" s="34">
        <f>+AE23*-AE76</f>
        <v>-1403.232991301674</v>
      </c>
      <c r="AF24" s="34">
        <f>+AF23*-AF76</f>
        <v>-1764.9339973460505</v>
      </c>
      <c r="AG24" s="129">
        <f>SUM(AC24:AF24)</f>
        <v>-5626.6102841776283</v>
      </c>
    </row>
    <row r="25" spans="1:33" x14ac:dyDescent="0.3">
      <c r="A25" s="145"/>
      <c r="B25" s="201" t="s">
        <v>8</v>
      </c>
      <c r="C25" s="202"/>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3916.3726897325823</v>
      </c>
      <c r="Z25" s="40">
        <f t="shared" si="43"/>
        <v>4972.9477283742672</v>
      </c>
      <c r="AA25" s="40">
        <f t="shared" si="43"/>
        <v>6191.4389094072103</v>
      </c>
      <c r="AB25" s="130">
        <f t="shared" si="43"/>
        <v>19982.759327514053</v>
      </c>
      <c r="AC25" s="40">
        <f t="shared" si="43"/>
        <v>5437.5206748984237</v>
      </c>
      <c r="AD25" s="40">
        <f t="shared" si="43"/>
        <v>5854.7349711885627</v>
      </c>
      <c r="AE25" s="40">
        <f t="shared" si="43"/>
        <v>6315.0911818311479</v>
      </c>
      <c r="AF25" s="40">
        <f t="shared" si="43"/>
        <v>7918.8446959404155</v>
      </c>
      <c r="AG25" s="130">
        <f t="shared" si="43"/>
        <v>25526.191523858542</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3916.3726897325823</v>
      </c>
      <c r="Z27" s="40">
        <f t="shared" ref="Z27" si="58">+Z25-Z26</f>
        <v>4972.9477283742672</v>
      </c>
      <c r="AA27" s="40">
        <f t="shared" ref="AA27" si="59">+AA25-AA26</f>
        <v>6191.4389094072103</v>
      </c>
      <c r="AB27" s="130">
        <f t="shared" ref="AB27" si="60">+AB25-AB26</f>
        <v>19982.759327514053</v>
      </c>
      <c r="AC27" s="40">
        <f t="shared" ref="AC27" si="61">+AC25-AC26</f>
        <v>5437.5206748984237</v>
      </c>
      <c r="AD27" s="40">
        <f t="shared" ref="AD27" si="62">+AD25-AD26</f>
        <v>5854.7349711885627</v>
      </c>
      <c r="AE27" s="40">
        <f t="shared" ref="AE27" si="63">+AE25-AE26</f>
        <v>6315.0911818311479</v>
      </c>
      <c r="AF27" s="40">
        <f t="shared" ref="AF27" si="64">+AF25-AF26</f>
        <v>7918.8446959404155</v>
      </c>
      <c r="AG27" s="130">
        <f t="shared" ref="AG27" si="65">+AG25-AG26</f>
        <v>25526.191523858542</v>
      </c>
    </row>
    <row r="28" spans="1:33" x14ac:dyDescent="0.3">
      <c r="A28" s="138"/>
      <c r="B28" s="199" t="s">
        <v>0</v>
      </c>
      <c r="C28" s="200"/>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2851.2600137835384</v>
      </c>
      <c r="AA28" s="29">
        <f>Z28*(1+AA78)-AA82</f>
        <v>2851.4353269066451</v>
      </c>
      <c r="AB28" s="128">
        <f>(X28*X25/AB25)+(Y28*Y25/AB25)+(Z28*Z25/AB25)+(AA28*AA25/AB25)</f>
        <v>2851.1632933891592</v>
      </c>
      <c r="AC28" s="29">
        <f>AA28*(1+AC78)-AC82</f>
        <v>2851.5080621926713</v>
      </c>
      <c r="AD28" s="29">
        <f>AC28*(1+AD78)-AD82</f>
        <v>2851.94263311135</v>
      </c>
      <c r="AE28" s="29">
        <f>AD28*(1+AE78)-AE82</f>
        <v>2852.5138368091957</v>
      </c>
      <c r="AF28" s="29">
        <f>AE28*(1+AF78)-AF82</f>
        <v>2852.8946745076087</v>
      </c>
      <c r="AG28" s="128">
        <f>(AC28*AC25/AG25)+(AD28*AD25/AG25)+(AE28*AE25/AG25)+(AF28*AF25/AG25)</f>
        <v>2852.2867221633014</v>
      </c>
    </row>
    <row r="29" spans="1:33" ht="15.75" customHeight="1" x14ac:dyDescent="0.3">
      <c r="A29" s="138"/>
      <c r="B29" s="199" t="s">
        <v>1</v>
      </c>
      <c r="C29" s="200"/>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2868.8166302079394</v>
      </c>
      <c r="Z29" s="29">
        <f>Y29*(1+Z79)-Z82</f>
        <v>2868.7645326824231</v>
      </c>
      <c r="AA29" s="29">
        <f>Z29*(1+AA79)-AA82</f>
        <v>2868.3182181891257</v>
      </c>
      <c r="AB29" s="128">
        <f>(X29*X25/AB25)+(Y29*Y25/AB25)+(Z29*Z25/AB25)+(AA29*AA25/AB25)</f>
        <v>2868.448908863943</v>
      </c>
      <c r="AC29" s="29">
        <f>AA29*(1+AC79)-AC82</f>
        <v>2866.1174539144999</v>
      </c>
      <c r="AD29" s="29">
        <f>AC29*(1+AD79)-AD82</f>
        <v>2865.950182067163</v>
      </c>
      <c r="AE29" s="29">
        <f>AD29*(1+AE79)-AE82</f>
        <v>2865.5188720599967</v>
      </c>
      <c r="AF29" s="29">
        <f>AE29*(1+AF79)-AF82</f>
        <v>2864.7709866892678</v>
      </c>
      <c r="AG29" s="128">
        <f>(AC29*AC25/AG25)+(AD29*AD25/AG25)+(AE29*AE25/AG25)+(AF29*AF25/AG25)</f>
        <v>2865.5132942161908</v>
      </c>
    </row>
    <row r="30" spans="1:33" ht="15.75" customHeight="1" x14ac:dyDescent="0.3">
      <c r="A30" s="138"/>
      <c r="B30" s="205" t="s">
        <v>9</v>
      </c>
      <c r="C30" s="206"/>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1.3737730978785829</v>
      </c>
      <c r="Z30" s="43">
        <f t="shared" si="66"/>
        <v>1.7441228454557223</v>
      </c>
      <c r="AA30" s="43">
        <f t="shared" si="66"/>
        <v>2.1713411666691873</v>
      </c>
      <c r="AB30" s="132">
        <f t="shared" si="66"/>
        <v>7.0086337649783212</v>
      </c>
      <c r="AC30" s="43">
        <f t="shared" si="66"/>
        <v>1.9068929690197804</v>
      </c>
      <c r="AD30" s="43">
        <f t="shared" si="66"/>
        <v>2.0528936673600939</v>
      </c>
      <c r="AE30" s="43">
        <f t="shared" si="66"/>
        <v>2.2138687288175154</v>
      </c>
      <c r="AF30" s="43">
        <f t="shared" si="66"/>
        <v>2.7757227656177519</v>
      </c>
      <c r="AG30" s="132">
        <f t="shared" si="66"/>
        <v>8.9493778186851927</v>
      </c>
    </row>
    <row r="31" spans="1:33" x14ac:dyDescent="0.3">
      <c r="A31" s="138"/>
      <c r="B31" s="203" t="s">
        <v>10</v>
      </c>
      <c r="C31" s="204"/>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 t="shared" si="67"/>
        <v>1.3651526725319887</v>
      </c>
      <c r="Z31" s="137">
        <f t="shared" si="67"/>
        <v>1.7334806226582629</v>
      </c>
      <c r="AA31" s="137">
        <f t="shared" si="67"/>
        <v>2.1585606750830082</v>
      </c>
      <c r="AB31" s="158">
        <f t="shared" si="67"/>
        <v>6.9663989014286747</v>
      </c>
      <c r="AC31" s="137">
        <f t="shared" si="67"/>
        <v>1.8971730092470356</v>
      </c>
      <c r="AD31" s="137">
        <f t="shared" si="67"/>
        <v>2.0428599938068839</v>
      </c>
      <c r="AE31" s="137">
        <f t="shared" si="67"/>
        <v>2.2038211799635725</v>
      </c>
      <c r="AF31" s="137">
        <f t="shared" si="67"/>
        <v>2.7642156153961865</v>
      </c>
      <c r="AG31" s="158">
        <f t="shared" si="67"/>
        <v>8.9080694810877752</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91" t="s">
        <v>25</v>
      </c>
      <c r="C33" s="192"/>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193"/>
      <c r="C34" s="194"/>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91" t="s">
        <v>146</v>
      </c>
      <c r="C35" s="192"/>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8313.1987577363107</v>
      </c>
      <c r="Z36" s="64">
        <f>+((Z42+Y42)/2)*Z52</f>
        <v>8115.6015199999993</v>
      </c>
      <c r="AA36" s="64">
        <f>+((AA42+Z42)/2)*AA52</f>
        <v>10077.206319999998</v>
      </c>
      <c r="AB36" s="19"/>
      <c r="AC36" s="64">
        <f>+((AC42+AA42)/2)*AC52</f>
        <v>8775.7150000000001</v>
      </c>
      <c r="AD36" s="64">
        <f>+((AD42+AC42)/2)*AD52</f>
        <v>8818.6412422066787</v>
      </c>
      <c r="AE36" s="64">
        <f>+((AE42+AD42)/2)*AE52</f>
        <v>8857.3674989280025</v>
      </c>
      <c r="AF36" s="64">
        <f>+((AF42+AE42)/2)*AF52</f>
        <v>11306.62549104</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4288.5118499999999</v>
      </c>
      <c r="Z37" s="64">
        <f t="shared" ref="Z37:AA37" si="68">+((Z44+Y44)/2)*Z54</f>
        <v>4146.3903840000003</v>
      </c>
      <c r="AA37" s="64">
        <f t="shared" si="68"/>
        <v>5383.7051170000004</v>
      </c>
      <c r="AB37" s="19"/>
      <c r="AC37" s="64">
        <f>+((AC44+AA44)/2)*AC54</f>
        <v>4557.524832000001</v>
      </c>
      <c r="AD37" s="64">
        <f>+((AD44+AC44)/2)*AD54</f>
        <v>4772.2559866800002</v>
      </c>
      <c r="AE37" s="64">
        <f t="shared" ref="AE37:AF37" si="69">+((AE44+AD44)/2)*AE54</f>
        <v>4959.0828992639999</v>
      </c>
      <c r="AF37" s="64">
        <f t="shared" si="69"/>
        <v>6606.8829195824001</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3113.3837760000001</v>
      </c>
      <c r="Z38" s="64">
        <f t="shared" ref="Z38:AA38" si="70">+((Z46+Y46)/2)*Z56</f>
        <v>3767.3984519999999</v>
      </c>
      <c r="AA38" s="64">
        <f t="shared" si="70"/>
        <v>4430.3501151</v>
      </c>
      <c r="AB38" s="19"/>
      <c r="AC38" s="64">
        <f>+((AC46+AA46)/2)*AC56</f>
        <v>4090.0912998474823</v>
      </c>
      <c r="AD38" s="64">
        <f>+((AD46+AC46)/2)*AD56</f>
        <v>4006.9249197120007</v>
      </c>
      <c r="AE38" s="64">
        <f t="shared" ref="AE38:AF38" si="71">+((AE46+AD46)/2)*AE56</f>
        <v>5040.2052602558178</v>
      </c>
      <c r="AF38" s="64">
        <f t="shared" si="71"/>
        <v>6161.1001250146319</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1731.3065999999999</v>
      </c>
      <c r="Z39" s="99">
        <f t="shared" ref="Z39:AA39" si="72">+((Z48+Y48)/2)*Z58</f>
        <v>1978.5185684813046</v>
      </c>
      <c r="AA39" s="99">
        <f t="shared" si="72"/>
        <v>2312.7724520530119</v>
      </c>
      <c r="AB39" s="19"/>
      <c r="AC39" s="99">
        <f>+((AC48+AA48)/2)*AC58</f>
        <v>1995.684445715008</v>
      </c>
      <c r="AD39" s="99">
        <f>+((AD48+AC48)/2)*AD58</f>
        <v>2140.8032197129792</v>
      </c>
      <c r="AE39" s="99">
        <f t="shared" ref="AE39:AF39" si="73">+((AE48+AD48)/2)*AE58</f>
        <v>2550.6186157101706</v>
      </c>
      <c r="AF39" s="99">
        <f t="shared" si="73"/>
        <v>3089.967386932427</v>
      </c>
      <c r="AG39" s="19"/>
    </row>
    <row r="40" spans="1:33" s="92" customFormat="1" outlineLevel="1" x14ac:dyDescent="0.3">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17446.400983736312</v>
      </c>
      <c r="Z40" s="100">
        <f t="shared" ref="Z40:AA40" si="81">SUM(Z36:Z39)</f>
        <v>18007.908924481304</v>
      </c>
      <c r="AA40" s="100">
        <f t="shared" si="81"/>
        <v>22204.034004153007</v>
      </c>
      <c r="AB40" s="91"/>
      <c r="AC40" s="100">
        <f>SUM(AC36:AC39)</f>
        <v>19419.015577562492</v>
      </c>
      <c r="AD40" s="100">
        <f>SUM(AD36:AD39)</f>
        <v>19738.625368311659</v>
      </c>
      <c r="AE40" s="100">
        <f t="shared" ref="AE40:AF40" si="82">SUM(AE36:AE39)</f>
        <v>21407.27427415799</v>
      </c>
      <c r="AF40" s="100">
        <f t="shared" si="82"/>
        <v>27164.575922569464</v>
      </c>
      <c r="AG40" s="91"/>
    </row>
    <row r="41" spans="1:33" ht="17.399999999999999" x14ac:dyDescent="0.45">
      <c r="A41" s="138"/>
      <c r="B41" s="208" t="s">
        <v>86</v>
      </c>
      <c r="C41" s="20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253.76000000000002</v>
      </c>
      <c r="Z42" s="29">
        <f t="shared" ref="Z42" si="84">U42*(1+Z43)</f>
        <v>256.88</v>
      </c>
      <c r="AA42" s="29">
        <f t="shared" ref="AA42" si="85">V42*(1+AA43)</f>
        <v>255.44</v>
      </c>
      <c r="AB42" s="19"/>
      <c r="AC42" s="29">
        <f>X42*(1+AC43)</f>
        <v>258.06</v>
      </c>
      <c r="AD42" s="29">
        <f t="shared" ref="AD42" si="86">Y42*(1+AD43)</f>
        <v>258.83520000000004</v>
      </c>
      <c r="AE42" s="29">
        <f t="shared" ref="AE42" si="87">Z42*(1+AE43)</f>
        <v>262.01760000000002</v>
      </c>
      <c r="AF42" s="29">
        <f t="shared" ref="AF42" si="88">AA42*(1+AF43)</f>
        <v>260.54880000000003</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0.04</v>
      </c>
      <c r="Z43" s="59">
        <v>0.04</v>
      </c>
      <c r="AA43" s="59">
        <v>0.03</v>
      </c>
      <c r="AB43" s="19"/>
      <c r="AC43" s="59">
        <v>0.02</v>
      </c>
      <c r="AD43" s="59">
        <v>0.02</v>
      </c>
      <c r="AE43" s="59">
        <v>0.02</v>
      </c>
      <c r="AF43" s="59">
        <v>0.02</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411.95000000000005</v>
      </c>
      <c r="Z44" s="29">
        <f t="shared" ref="Z44" si="90">U44*(1+Z45)</f>
        <v>414.09000000000003</v>
      </c>
      <c r="AA44" s="29">
        <f t="shared" ref="AA44" si="91">V44*(1+AA45)</f>
        <v>417.64000000000004</v>
      </c>
      <c r="AB44" s="19"/>
      <c r="AC44" s="29">
        <f>X44*(1+AC45)</f>
        <v>422.24</v>
      </c>
      <c r="AD44" s="29">
        <f t="shared" ref="AD44" si="92">Y44*(1+AD45)</f>
        <v>428.42800000000005</v>
      </c>
      <c r="AE44" s="29">
        <f t="shared" ref="AE44" si="93">Z44*(1+AE45)</f>
        <v>430.65360000000004</v>
      </c>
      <c r="AF44" s="29">
        <f t="shared" ref="AF44" si="94">AA44*(1+AF45)</f>
        <v>434.34560000000005</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7.0000000000000007E-2</v>
      </c>
      <c r="Z45" s="59">
        <v>7.0000000000000007E-2</v>
      </c>
      <c r="AA45" s="59">
        <v>0.06</v>
      </c>
      <c r="AB45" s="19"/>
      <c r="AC45" s="59">
        <v>0.04</v>
      </c>
      <c r="AD45" s="59">
        <v>0.04</v>
      </c>
      <c r="AE45" s="59">
        <v>0.04</v>
      </c>
      <c r="AF45" s="59">
        <v>0.04</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1133.3899999999999</v>
      </c>
      <c r="Z46" s="29">
        <f t="shared" ref="Z46" si="96">U46*(1+Z47)</f>
        <v>1124.43</v>
      </c>
      <c r="AA46" s="29">
        <f t="shared" ref="AA46" si="97">V46*(1+AA47)</f>
        <v>1152.6240000000003</v>
      </c>
      <c r="AB46" s="22"/>
      <c r="AC46" s="29">
        <f>X46*(1+AC47)</f>
        <v>1202.3000000000002</v>
      </c>
      <c r="AD46" s="29">
        <f t="shared" ref="AD46" si="98">Y46*(1+AD47)</f>
        <v>1246.729</v>
      </c>
      <c r="AE46" s="29">
        <f t="shared" ref="AE46" si="99">Z46*(1+AE47)</f>
        <v>1236.8730000000003</v>
      </c>
      <c r="AF46" s="29">
        <f t="shared" ref="AF46" si="100">AA46*(1+AF47)</f>
        <v>1270.7679600000004</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v>0.13</v>
      </c>
      <c r="Z47" s="59">
        <v>0.11</v>
      </c>
      <c r="AA47" s="59">
        <v>0.11</v>
      </c>
      <c r="AB47" s="19"/>
      <c r="AC47" s="59">
        <v>0.1</v>
      </c>
      <c r="AD47" s="59">
        <v>0.1</v>
      </c>
      <c r="AE47" s="59">
        <v>0.1</v>
      </c>
      <c r="AF47" s="59">
        <f>AVERAGE(AA47,AC47,AD47,AE47)</f>
        <v>0.10250000000000001</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860.2</v>
      </c>
      <c r="Z48" s="29">
        <f t="shared" ref="Z48" si="102">U48*(1+Z49)</f>
        <v>871.69650602355068</v>
      </c>
      <c r="AA48" s="29">
        <f t="shared" ref="AA48" si="103">V48*(1+AA49)</f>
        <v>887.86865835031699</v>
      </c>
      <c r="AB48" s="19"/>
      <c r="AC48" s="29">
        <f>X48*(1+AC49)</f>
        <v>919.08</v>
      </c>
      <c r="AD48" s="29">
        <f t="shared" ref="AD48" si="104">Y48*(1+AD49)</f>
        <v>929.01600000000008</v>
      </c>
      <c r="AE48" s="29">
        <f t="shared" ref="AE48" si="105">Z48*(1+AE49)</f>
        <v>941.43222650543476</v>
      </c>
      <c r="AF48" s="29">
        <f t="shared" ref="AF48" si="106">AA48*(1+AF49)</f>
        <v>958.89815101834245</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v>
      </c>
      <c r="Z49" s="59">
        <f>AVERAGE(U49,V49,X49,Y49)-1%</f>
        <v>8.6903374094202887E-2</v>
      </c>
      <c r="AA49" s="59">
        <f>AVERAGE(V49,X49,Y49,Z49)-1%</f>
        <v>8.6210739356884045E-2</v>
      </c>
      <c r="AB49" s="19"/>
      <c r="AC49" s="59">
        <v>0.08</v>
      </c>
      <c r="AD49" s="59">
        <v>0.08</v>
      </c>
      <c r="AE49" s="59">
        <v>0.08</v>
      </c>
      <c r="AF49" s="59">
        <v>0.08</v>
      </c>
      <c r="AG49" s="19"/>
    </row>
    <row r="50" spans="1:33" s="21" customFormat="1" outlineLevel="1" x14ac:dyDescent="0.3">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2659.3</v>
      </c>
      <c r="Z50" s="40">
        <f t="shared" si="111"/>
        <v>2667.0965060235508</v>
      </c>
      <c r="AA50" s="40">
        <f t="shared" si="111"/>
        <v>2713.5726583503174</v>
      </c>
      <c r="AB50" s="95"/>
      <c r="AC50" s="40">
        <f>+AC42+AC44+AC46+AC48</f>
        <v>2801.6800000000003</v>
      </c>
      <c r="AD50" s="40">
        <f t="shared" ref="AD50:AF50" si="112">+AD42+AD44+AD46+AD48</f>
        <v>2863.0082000000002</v>
      </c>
      <c r="AE50" s="40">
        <f t="shared" si="112"/>
        <v>2870.976426505435</v>
      </c>
      <c r="AF50" s="40">
        <f t="shared" si="112"/>
        <v>2924.5605110183428</v>
      </c>
      <c r="AG50" s="95"/>
    </row>
    <row r="51" spans="1:33" ht="17.399999999999999" x14ac:dyDescent="0.45">
      <c r="A51" s="138"/>
      <c r="B51" s="191" t="s">
        <v>87</v>
      </c>
      <c r="C51" s="192"/>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32.809214451560152</v>
      </c>
      <c r="Z52" s="45">
        <f t="shared" ref="Z52" si="114">U52*(1+Z53)</f>
        <v>31.785999999999998</v>
      </c>
      <c r="AA52" s="45">
        <f t="shared" ref="AA52" si="115">V52*(1+AA53)</f>
        <v>39.339499999999994</v>
      </c>
      <c r="AB52" s="19"/>
      <c r="AC52" s="45">
        <f>X52*(1+AC53)</f>
        <v>34.18</v>
      </c>
      <c r="AD52" s="45">
        <f t="shared" ref="AD52" si="116">Y52*(1+AD53)</f>
        <v>34.121583029622556</v>
      </c>
      <c r="AE52" s="45">
        <f t="shared" ref="AE52" si="117">Z52*(1+AE53)</f>
        <v>34.011020000000002</v>
      </c>
      <c r="AF52" s="45">
        <f t="shared" ref="AF52" si="118">AA52*(1+AF53)</f>
        <v>43.273449999999997</v>
      </c>
      <c r="AG52" s="19"/>
    </row>
    <row r="53" spans="1:33" ht="15.6" outlineLevel="1" x14ac:dyDescent="0.3">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f>AVERAGE(T53,U53,V53,X53)-22.8376632115546%</f>
        <v>-1.3849881227527894E-2</v>
      </c>
      <c r="Z53" s="59">
        <v>-0.08</v>
      </c>
      <c r="AA53" s="59">
        <v>-0.05</v>
      </c>
      <c r="AB53" s="19"/>
      <c r="AC53" s="59">
        <v>0</v>
      </c>
      <c r="AD53" s="59">
        <v>0.04</v>
      </c>
      <c r="AE53" s="59">
        <v>7.0000000000000007E-2</v>
      </c>
      <c r="AF53" s="59">
        <v>0.1</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10.485999999999999</v>
      </c>
      <c r="Z54" s="45">
        <f t="shared" ref="Z54" si="125">U54*(1+Z55)</f>
        <v>10.039199999999999</v>
      </c>
      <c r="AA54" s="45">
        <f t="shared" ref="AA54" si="126">V54*(1+AA55)</f>
        <v>12.9458</v>
      </c>
      <c r="AB54" s="19"/>
      <c r="AC54" s="45">
        <f>X54*(1+AC55)</f>
        <v>10.8528</v>
      </c>
      <c r="AD54" s="45">
        <f t="shared" ref="AD54" si="127">Y54*(1+AD55)</f>
        <v>11.22002</v>
      </c>
      <c r="AE54" s="45">
        <f t="shared" ref="AE54" si="128">Z54*(1+AE55)</f>
        <v>11.545079999999999</v>
      </c>
      <c r="AF54" s="45">
        <f t="shared" ref="AF54" si="129">AA54*(1+AF55)</f>
        <v>15.276043999999999</v>
      </c>
      <c r="AG54" s="19"/>
    </row>
    <row r="55" spans="1:33" outlineLevel="1" x14ac:dyDescent="0.3">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v>-0.02</v>
      </c>
      <c r="Z55" s="59">
        <v>-0.06</v>
      </c>
      <c r="AA55" s="59">
        <v>-0.02</v>
      </c>
      <c r="AB55" s="19"/>
      <c r="AC55" s="59">
        <v>0.02</v>
      </c>
      <c r="AD55" s="59">
        <v>7.0000000000000007E-2</v>
      </c>
      <c r="AE55" s="59">
        <v>0.15</v>
      </c>
      <c r="AF55" s="59">
        <v>0.18</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2.7968000000000002</v>
      </c>
      <c r="Z56" s="45">
        <f t="shared" ref="Z56" si="138">U56*(1+Z57)</f>
        <v>3.3372000000000002</v>
      </c>
      <c r="AA56" s="45">
        <f t="shared" ref="AA56" si="139">V56*(1+AA57)</f>
        <v>3.8913000000000002</v>
      </c>
      <c r="AB56" s="19"/>
      <c r="AC56" s="45">
        <f>X56*(1+AC57)</f>
        <v>3.4736503597122299</v>
      </c>
      <c r="AD56" s="45">
        <f t="shared" ref="AD56" si="140">Y56*(1+AD57)</f>
        <v>3.2722560000000001</v>
      </c>
      <c r="AE56" s="45">
        <f t="shared" ref="AE56" si="141">Z56*(1+AE57)</f>
        <v>4.0587866012797678</v>
      </c>
      <c r="AF56" s="45">
        <f t="shared" ref="AF56" si="142">AA56*(1+AF57)</f>
        <v>4.9138614524900968</v>
      </c>
      <c r="AG56" s="19"/>
    </row>
    <row r="57" spans="1:33" outlineLevel="1" x14ac:dyDescent="0.3">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v>-0.08</v>
      </c>
      <c r="Z57" s="59">
        <v>0.03</v>
      </c>
      <c r="AA57" s="59">
        <v>0.09</v>
      </c>
      <c r="AB57" s="19"/>
      <c r="AC57" s="59">
        <f>AVERAGE(X57,Y57,Z57,AA57)+10%</f>
        <v>0.13517985611510791</v>
      </c>
      <c r="AD57" s="59">
        <v>0.17</v>
      </c>
      <c r="AE57" s="59">
        <f>AVERAGE(Z57,AA57,AC57,AD57)+10.9930195170482%</f>
        <v>0.21622515919925897</v>
      </c>
      <c r="AF57" s="59">
        <f>AVERAGE(AA57,AC57,AD57,AE57)+10.9930195170482%</f>
        <v>0.26278144899907374</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2.0234999999999999</v>
      </c>
      <c r="Z58" s="45">
        <f t="shared" ref="Z58" si="151">U58*(1+Z59)</f>
        <v>2.2848000000000002</v>
      </c>
      <c r="AA58" s="45">
        <f t="shared" ref="AA58" si="152">V58*(1+AA59)</f>
        <v>2.6288</v>
      </c>
      <c r="AB58" s="19"/>
      <c r="AC58" s="45">
        <f>X58*(1+AC59)</f>
        <v>2.2089000000000003</v>
      </c>
      <c r="AD58" s="45">
        <f t="shared" ref="AD58" si="153">Y58*(1+AD59)</f>
        <v>2.3167662499274702</v>
      </c>
      <c r="AE58" s="45">
        <f t="shared" ref="AE58" si="154">Z58*(1+AE59)</f>
        <v>2.7272806374068965</v>
      </c>
      <c r="AF58" s="45">
        <f t="shared" ref="AF58" si="155">AA58*(1+AF59)</f>
        <v>3.2520317766627551</v>
      </c>
      <c r="AG58" s="19"/>
    </row>
    <row r="59" spans="1:33" ht="16.2" outlineLevel="1" x14ac:dyDescent="0.45">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v>-0.05</v>
      </c>
      <c r="Z59" s="59">
        <v>0.02</v>
      </c>
      <c r="AA59" s="59">
        <v>0.06</v>
      </c>
      <c r="AB59" s="19"/>
      <c r="AC59" s="59">
        <v>0.11</v>
      </c>
      <c r="AD59" s="59">
        <f>AVERAGE(Y59,Z59,AA59,AC59)+10.9930195170482%</f>
        <v>0.144930195170482</v>
      </c>
      <c r="AE59" s="59">
        <f>AVERAGE(Z59,AA59,AC59,AD59)+10.9930195170482%</f>
        <v>0.19366274396310251</v>
      </c>
      <c r="AF59" s="59">
        <f>AVERAGE(AA59,AC59,AD59,AE59)+10.9930195170482%</f>
        <v>0.23707842995387812</v>
      </c>
      <c r="AG59" s="19"/>
    </row>
    <row r="60" spans="1:33" outlineLevel="1" x14ac:dyDescent="0.3">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6.6307131800681498</v>
      </c>
      <c r="Z60" s="43">
        <f t="shared" ref="Z60:AA60" si="167">+Z40/((Y50+Z50)/2)</f>
        <v>6.7617605651837591</v>
      </c>
      <c r="AA60" s="43">
        <f t="shared" si="167"/>
        <v>8.2532611932987407</v>
      </c>
      <c r="AB60" s="19"/>
      <c r="AC60" s="43">
        <f>+AC40/((AA50+AC50)/2)</f>
        <v>7.0419314510138751</v>
      </c>
      <c r="AD60" s="43">
        <f>+AD40/((AC50+AD50)/2)</f>
        <v>6.9690068266464014</v>
      </c>
      <c r="AE60" s="43">
        <f t="shared" ref="AE60:AF60" si="168">+AE40/((AD50+AE50)/2)</f>
        <v>7.4668056050246543</v>
      </c>
      <c r="AF60" s="43">
        <f t="shared" si="168"/>
        <v>9.3743086155450843</v>
      </c>
      <c r="AG60" s="19"/>
    </row>
    <row r="61" spans="1:33" ht="17.399999999999999" x14ac:dyDescent="0.45">
      <c r="A61" s="138"/>
      <c r="B61" s="191" t="s">
        <v>26</v>
      </c>
      <c r="C61" s="192"/>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6" customHeight="1" outlineLevel="1" x14ac:dyDescent="0.3">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8"/>
      <c r="B63" s="191" t="s">
        <v>16</v>
      </c>
      <c r="C63" s="192"/>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199" t="s">
        <v>101</v>
      </c>
      <c r="C64" s="200"/>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3.3187313972303123E-2</v>
      </c>
      <c r="Z64" s="55">
        <f t="shared" si="175"/>
        <v>2.0162526879747622E-2</v>
      </c>
      <c r="AA64" s="55">
        <f t="shared" si="175"/>
        <v>5.3222369991130281E-2</v>
      </c>
      <c r="AB64" s="53">
        <f t="shared" si="175"/>
        <v>6.6457472203496959E-2</v>
      </c>
      <c r="AC64" s="55">
        <f t="shared" si="175"/>
        <v>9.4830894602384364E-2</v>
      </c>
      <c r="AD64" s="55">
        <f t="shared" si="175"/>
        <v>0.13138666173683489</v>
      </c>
      <c r="AE64" s="55">
        <f t="shared" si="175"/>
        <v>0.18877068758690418</v>
      </c>
      <c r="AF64" s="55">
        <f t="shared" si="175"/>
        <v>0.2234072384094099</v>
      </c>
      <c r="AG64" s="53">
        <f t="shared" si="175"/>
        <v>0.16359295667603213</v>
      </c>
    </row>
    <row r="65" spans="1:33" s="42" customFormat="1" outlineLevel="1" x14ac:dyDescent="0.3">
      <c r="A65" s="145"/>
      <c r="B65" s="199" t="s">
        <v>102</v>
      </c>
      <c r="C65" s="200"/>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-1.6383774948620866E-2</v>
      </c>
      <c r="Z65" s="55">
        <f t="shared" si="179"/>
        <v>3.2184743504888758E-2</v>
      </c>
      <c r="AA65" s="55">
        <f t="shared" si="179"/>
        <v>0.23301567646020116</v>
      </c>
      <c r="AB65" s="53"/>
      <c r="AC65" s="55">
        <f>+AC13/AA13-1</f>
        <v>-0.12542848862821998</v>
      </c>
      <c r="AD65" s="55">
        <f t="shared" ref="AD65:AF65" si="180">+AD13/AC13-1</f>
        <v>1.6458599019739006E-2</v>
      </c>
      <c r="AE65" s="55">
        <f t="shared" si="180"/>
        <v>8.4537239787993324E-2</v>
      </c>
      <c r="AF65" s="55">
        <f t="shared" si="180"/>
        <v>0.26894136893277709</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17721.400983736312</v>
      </c>
      <c r="Z66" s="29">
        <f>+Z84+Z13</f>
        <v>18307.908924481304</v>
      </c>
      <c r="AA66" s="29">
        <f>+AA84+AA13</f>
        <v>22604.034004153007</v>
      </c>
      <c r="AB66" s="30">
        <f>SUM(X66:AA66)</f>
        <v>76645.343912370619</v>
      </c>
      <c r="AC66" s="29">
        <f>+AC84+AC13</f>
        <v>19769.015577562492</v>
      </c>
      <c r="AD66" s="29">
        <f>+AD84+AD13</f>
        <v>20238.625368311659</v>
      </c>
      <c r="AE66" s="29">
        <f>+AE84+AE13</f>
        <v>21947.27427415799</v>
      </c>
      <c r="AF66" s="29">
        <f>+AF84+AF13</f>
        <v>27689.575922569464</v>
      </c>
      <c r="AG66" s="30">
        <f>SUM(AC66:AF66)</f>
        <v>89644.491142601604</v>
      </c>
    </row>
    <row r="67" spans="1:33" s="42" customFormat="1" outlineLevel="1" x14ac:dyDescent="0.3">
      <c r="A67" s="145"/>
      <c r="B67" s="199" t="s">
        <v>103</v>
      </c>
      <c r="C67" s="200"/>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4.9472994417642635E-2</v>
      </c>
      <c r="Z67" s="55">
        <f t="shared" ref="Z67" si="183">+Z66/U13-1</f>
        <v>3.7157768212174425E-2</v>
      </c>
      <c r="AA67" s="55">
        <f t="shared" ref="AA67" si="184">+AA66/V13-1</f>
        <v>7.2195901914097638E-2</v>
      </c>
      <c r="AB67" s="147">
        <f>+AB66/W13-1</f>
        <v>8.4138561924418598E-2</v>
      </c>
      <c r="AC67" s="55">
        <f>+AC66/X13-1</f>
        <v>0.11456365662527435</v>
      </c>
      <c r="AD67" s="55">
        <f t="shared" ref="AD67" si="185">+AD66/Y13-1</f>
        <v>0.16004586775107854</v>
      </c>
      <c r="AE67" s="55">
        <f t="shared" ref="AE67" si="186">+AE66/Z13-1</f>
        <v>0.21875751183532577</v>
      </c>
      <c r="AF67" s="55">
        <f t="shared" ref="AF67" si="187">+AF66/AA13-1</f>
        <v>0.24705159059792692</v>
      </c>
      <c r="AG67" s="147">
        <f>+AG66/AB13-1</f>
        <v>0.18899240312229715</v>
      </c>
    </row>
    <row r="68" spans="1:33" s="42" customFormat="1" outlineLevel="1" x14ac:dyDescent="0.3">
      <c r="A68" s="145"/>
      <c r="B68" s="199" t="s">
        <v>104</v>
      </c>
      <c r="C68" s="200"/>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0.79</v>
      </c>
      <c r="Z69" s="60">
        <v>0.82</v>
      </c>
      <c r="AA69" s="60">
        <v>0.81</v>
      </c>
      <c r="AB69" s="54">
        <f>+AB15/AB13</f>
        <v>0.80658043962595927</v>
      </c>
      <c r="AC69" s="60">
        <v>0.81</v>
      </c>
      <c r="AD69" s="60">
        <v>0.81499999999999995</v>
      </c>
      <c r="AE69" s="60">
        <v>0.8</v>
      </c>
      <c r="AF69" s="60">
        <v>0.8</v>
      </c>
      <c r="AG69" s="54">
        <f>+AG15/AG13</f>
        <v>0.80558842334447578</v>
      </c>
    </row>
    <row r="70" spans="1:33" s="42" customFormat="1" outlineLevel="1" x14ac:dyDescent="0.3">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0.24</v>
      </c>
      <c r="Z70" s="60">
        <v>0.25</v>
      </c>
      <c r="AA70" s="60">
        <v>0.255</v>
      </c>
      <c r="AB70" s="54"/>
      <c r="AC70" s="60">
        <v>0.27500000000000002</v>
      </c>
      <c r="AD70" s="60">
        <v>0.27</v>
      </c>
      <c r="AE70" s="60">
        <v>0.27</v>
      </c>
      <c r="AF70" s="60">
        <f t="shared" ref="AF70" si="196">AE70</f>
        <v>0.27</v>
      </c>
      <c r="AG70" s="54"/>
    </row>
    <row r="71" spans="1:33" s="42" customFormat="1" outlineLevel="1" x14ac:dyDescent="0.3">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0.17</v>
      </c>
      <c r="Z71" s="60">
        <v>0.16500000000000001</v>
      </c>
      <c r="AA71" s="60">
        <v>0.15</v>
      </c>
      <c r="AB71" s="165"/>
      <c r="AC71" s="60">
        <v>0.15</v>
      </c>
      <c r="AD71" s="60">
        <v>0.14499999999999999</v>
      </c>
      <c r="AE71" s="60">
        <v>0.14000000000000001</v>
      </c>
      <c r="AF71" s="60">
        <v>0.14000000000000001</v>
      </c>
      <c r="AG71" s="54"/>
    </row>
    <row r="72" spans="1:33" s="42" customFormat="1" outlineLevel="1" x14ac:dyDescent="0.3">
      <c r="A72" s="145"/>
      <c r="B72" s="70" t="s">
        <v>94</v>
      </c>
      <c r="C72" s="71"/>
      <c r="D72" s="55">
        <f t="shared" ref="D72:R72" si="201">+D19/D13</f>
        <v>6.8004459308807136E-2</v>
      </c>
      <c r="E72" s="55">
        <f t="shared" si="201"/>
        <v>6.401491609695463E-2</v>
      </c>
      <c r="F72" s="55">
        <f t="shared" si="201"/>
        <v>6.2473256311510482E-2</v>
      </c>
      <c r="G72" s="55">
        <f t="shared" si="201"/>
        <v>5.8462935634010671E-2</v>
      </c>
      <c r="H72" s="53">
        <f t="shared" si="201"/>
        <v>6.2631159997105432E-2</v>
      </c>
      <c r="I72" s="55">
        <f t="shared" si="201"/>
        <v>8.1548804780876491E-2</v>
      </c>
      <c r="J72" s="55">
        <f t="shared" si="201"/>
        <v>6.8662160712369913E-2</v>
      </c>
      <c r="K72" s="55">
        <f t="shared" si="201"/>
        <v>5.1897753679318356E-2</v>
      </c>
      <c r="L72" s="55">
        <f t="shared" si="201"/>
        <v>5.2883132901634287E-2</v>
      </c>
      <c r="M72" s="53">
        <f t="shared" si="201"/>
        <v>6.1914249870858237E-2</v>
      </c>
      <c r="N72" s="55">
        <f t="shared" si="201"/>
        <v>6.3262577302356682E-2</v>
      </c>
      <c r="O72" s="55">
        <f t="shared" si="201"/>
        <v>5.865013982314262E-2</v>
      </c>
      <c r="P72" s="55">
        <f t="shared" si="201"/>
        <v>6.8696729074087567E-2</v>
      </c>
      <c r="Q72" s="55">
        <f t="shared" si="201"/>
        <v>5.7703677426983561E-2</v>
      </c>
      <c r="R72" s="54">
        <f t="shared" si="201"/>
        <v>6.1821698484902751E-2</v>
      </c>
      <c r="S72" s="55">
        <f t="shared" ref="S72:T72" si="202">+S19/S13</f>
        <v>0.26954964515487168</v>
      </c>
      <c r="T72" s="55">
        <f t="shared" si="202"/>
        <v>0.19092739547554186</v>
      </c>
      <c r="U72" s="55">
        <f t="shared" ref="U72:V72" si="203">+U19/U13</f>
        <v>7.6365284387038296E-2</v>
      </c>
      <c r="V72" s="55">
        <f t="shared" si="203"/>
        <v>8.675647471776872E-2</v>
      </c>
      <c r="W72" s="147"/>
      <c r="X72" s="55">
        <f t="shared" ref="X72" si="204">+X19/X13</f>
        <v>8.9248463663528219E-2</v>
      </c>
      <c r="Y72" s="60">
        <v>0.12</v>
      </c>
      <c r="Z72" s="60">
        <v>0.08</v>
      </c>
      <c r="AA72" s="60">
        <v>7.3999999999999996E-2</v>
      </c>
      <c r="AB72" s="54"/>
      <c r="AC72" s="60">
        <v>0.06</v>
      </c>
      <c r="AD72" s="60">
        <v>0.05</v>
      </c>
      <c r="AE72" s="60">
        <v>4.2999999999999997E-2</v>
      </c>
      <c r="AF72" s="60">
        <v>4.4999999999999998E-2</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51764.174000768115</v>
      </c>
      <c r="AC73" s="51"/>
      <c r="AD73" s="51"/>
      <c r="AE73" s="51"/>
      <c r="AF73" s="51"/>
      <c r="AG73" s="30">
        <f>AG14+AG17+AG18+AG19</f>
        <v>57709.689334565424</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-0.72361249538727779</v>
      </c>
      <c r="Z74" s="55">
        <f>+(Z14+Z17+Z18+Z19)/(X14+X17+X18+X19)-1</f>
        <v>2.62866028389801E-2</v>
      </c>
      <c r="AA74" s="55">
        <f>+(AA14+AA17+AA18+AA19)/(Y14+Y17+Y18+Y19)-1</f>
        <v>0.15058956724205896</v>
      </c>
      <c r="AB74" s="53">
        <f>+(AB14+AB17+AB18+AB19)/(W14+W17+W18+W19)-1</f>
        <v>0.10817952946346931</v>
      </c>
      <c r="AC74" s="55">
        <f>+(AC14+AC17+AC18+AC19)/(AA14+AA17+AA18+AA19)-1</f>
        <v>-0.11758479794327126</v>
      </c>
      <c r="AD74" s="55">
        <f>+(AD14+AD17+AD18+AD19)/(AB14+AB17+AB18+AB19)-1</f>
        <v>-0.75214312336535694</v>
      </c>
      <c r="AE74" s="55">
        <f>+(AE14+AE17+AE18+AE19)/(AC14+AC17+AC18+AC19)-1</f>
        <v>6.6457546341902152E-2</v>
      </c>
      <c r="AF74" s="55">
        <f>+(AF14+AF17+AF18+AF19)/(AD14+AD17+AD18+AD19)-1</f>
        <v>0.38680043255911456</v>
      </c>
      <c r="AG74" s="53">
        <f>+(AG14+AG17+AG18+AG19)/(AB14+AB17+AB18+AB19)-1</f>
        <v>0.11485772638251857</v>
      </c>
    </row>
    <row r="75" spans="1:33" s="42" customFormat="1" outlineLevel="1" x14ac:dyDescent="0.3">
      <c r="A75" s="145"/>
      <c r="B75" s="199" t="s">
        <v>4</v>
      </c>
      <c r="C75" s="200"/>
      <c r="D75" s="51">
        <f t="shared" ref="D75:AG75" si="205">D21/D13</f>
        <v>0.37328130806391674</v>
      </c>
      <c r="E75" s="51">
        <f t="shared" si="205"/>
        <v>0.42666252330640148</v>
      </c>
      <c r="F75" s="51">
        <f t="shared" si="205"/>
        <v>0.445300242476109</v>
      </c>
      <c r="G75" s="51">
        <f t="shared" si="205"/>
        <v>0.51651719831990006</v>
      </c>
      <c r="H75" s="54">
        <f t="shared" si="205"/>
        <v>0.44963456111151312</v>
      </c>
      <c r="I75" s="51">
        <f t="shared" si="205"/>
        <v>0.41421812749003983</v>
      </c>
      <c r="J75" s="51">
        <f t="shared" si="205"/>
        <v>0.47215963952365625</v>
      </c>
      <c r="K75" s="51">
        <f t="shared" si="205"/>
        <v>0.49593338497288925</v>
      </c>
      <c r="L75" s="51">
        <f t="shared" si="205"/>
        <v>0.56675917360468697</v>
      </c>
      <c r="M75" s="54">
        <f t="shared" si="205"/>
        <v>0.49693749538779425</v>
      </c>
      <c r="N75" s="51">
        <f t="shared" si="205"/>
        <v>0.45537355841551064</v>
      </c>
      <c r="O75" s="51">
        <f t="shared" si="205"/>
        <v>0.44312599198851182</v>
      </c>
      <c r="P75" s="51">
        <f t="shared" si="205"/>
        <v>0.42114081736723247</v>
      </c>
      <c r="Q75" s="51">
        <f t="shared" si="205"/>
        <v>0.46233889085964291</v>
      </c>
      <c r="R75" s="54">
        <f t="shared" si="205"/>
        <v>0.44616569361366809</v>
      </c>
      <c r="S75" s="51">
        <f t="shared" si="205"/>
        <v>0.22000397957153281</v>
      </c>
      <c r="T75" s="51">
        <f t="shared" si="205"/>
        <v>0.27395475541869002</v>
      </c>
      <c r="U75" s="51">
        <f t="shared" si="205"/>
        <v>0.40703602991162474</v>
      </c>
      <c r="V75" s="51">
        <f t="shared" si="205"/>
        <v>0.42016886443411439</v>
      </c>
      <c r="W75" s="147">
        <f t="shared" si="205"/>
        <v>0.33927889443682191</v>
      </c>
      <c r="X75" s="51">
        <f t="shared" si="205"/>
        <v>0.33224333314540228</v>
      </c>
      <c r="Y75" s="51">
        <f t="shared" si="205"/>
        <v>0.26000000000000006</v>
      </c>
      <c r="Z75" s="51">
        <f t="shared" si="205"/>
        <v>0.32499999999999996</v>
      </c>
      <c r="AA75" s="51">
        <f t="shared" si="205"/>
        <v>0.33100000000000007</v>
      </c>
      <c r="AB75" s="54">
        <f t="shared" si="205"/>
        <v>0.31343009641375452</v>
      </c>
      <c r="AC75" s="51">
        <f t="shared" si="205"/>
        <v>0.32500000000000001</v>
      </c>
      <c r="AD75" s="51">
        <f t="shared" si="205"/>
        <v>0.35</v>
      </c>
      <c r="AE75" s="51">
        <f t="shared" si="205"/>
        <v>0.34699999999999998</v>
      </c>
      <c r="AF75" s="51">
        <f t="shared" si="205"/>
        <v>0.34500000000000003</v>
      </c>
      <c r="AG75" s="54">
        <f t="shared" si="205"/>
        <v>0.34218597893426628</v>
      </c>
    </row>
    <row r="76" spans="1:33" s="42" customFormat="1" outlineLevel="1" x14ac:dyDescent="0.3">
      <c r="A76" s="145"/>
      <c r="B76" s="199" t="s">
        <v>2</v>
      </c>
      <c r="C76" s="200"/>
      <c r="D76" s="51">
        <f t="shared" ref="D76:X76" si="206">-D24/D23</f>
        <v>0.26876513317191281</v>
      </c>
      <c r="E76" s="51">
        <f t="shared" si="206"/>
        <v>0.25704989154013014</v>
      </c>
      <c r="F76" s="51">
        <f t="shared" si="206"/>
        <v>0.24928999684443043</v>
      </c>
      <c r="G76" s="51">
        <f t="shared" si="206"/>
        <v>5.422753430721558E-2</v>
      </c>
      <c r="H76" s="54">
        <f t="shared" si="206"/>
        <v>0.18381530595941845</v>
      </c>
      <c r="I76" s="51">
        <f t="shared" si="206"/>
        <v>0.10093896713615023</v>
      </c>
      <c r="J76" s="51">
        <f t="shared" si="206"/>
        <v>0.13235294117647059</v>
      </c>
      <c r="K76" s="51">
        <f t="shared" si="206"/>
        <v>0.10103132161955691</v>
      </c>
      <c r="L76" s="51">
        <f t="shared" si="206"/>
        <v>0.42803537925489143</v>
      </c>
      <c r="M76" s="54">
        <f t="shared" si="206"/>
        <v>0.22632805671554823</v>
      </c>
      <c r="N76" s="51">
        <f t="shared" si="206"/>
        <v>0.11087344028520499</v>
      </c>
      <c r="O76" s="51">
        <f t="shared" si="206"/>
        <v>0.12985685071574643</v>
      </c>
      <c r="P76" s="51">
        <f t="shared" si="206"/>
        <v>0.13108930987821379</v>
      </c>
      <c r="Q76" s="51">
        <f t="shared" si="206"/>
        <v>0.13662024840045164</v>
      </c>
      <c r="R76" s="54">
        <f t="shared" si="206"/>
        <v>0.12807065967430306</v>
      </c>
      <c r="S76" s="144">
        <f t="shared" si="206"/>
        <v>0.30241240666283747</v>
      </c>
      <c r="T76" s="51">
        <f t="shared" si="206"/>
        <v>0.45860927152317882</v>
      </c>
      <c r="U76" s="51">
        <f t="shared" si="206"/>
        <v>0.16891799699822621</v>
      </c>
      <c r="V76" s="51">
        <f t="shared" si="206"/>
        <v>0.19849492856363835</v>
      </c>
      <c r="W76" s="147">
        <f t="shared" si="206"/>
        <v>0.25499758181525067</v>
      </c>
      <c r="X76" s="144">
        <f t="shared" si="206"/>
        <v>0.16362395495649207</v>
      </c>
      <c r="Y76" s="59">
        <v>0.18</v>
      </c>
      <c r="Z76" s="59">
        <v>0.18</v>
      </c>
      <c r="AA76" s="59">
        <v>0.18</v>
      </c>
      <c r="AB76" s="166">
        <f>-AB24/AB23</f>
        <v>0.17604241598381346</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0.18061329824677883</v>
      </c>
    </row>
    <row r="77" spans="1:33" ht="17.399999999999999" x14ac:dyDescent="0.45">
      <c r="A77" s="138"/>
      <c r="B77" s="191" t="s">
        <v>18</v>
      </c>
      <c r="C77" s="192"/>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199" t="s">
        <v>12</v>
      </c>
      <c r="C78" s="200"/>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7">AVERAGE(T78,U78,V78,X78)</f>
        <v>1.7723909360243817E-3</v>
      </c>
      <c r="Z78" s="60">
        <f t="shared" ref="Z78:Z79" si="208">AVERAGE(U78,V78,X78,Y78)</f>
        <v>1.7638955327755751E-3</v>
      </c>
      <c r="AA78" s="60">
        <f t="shared" ref="AA78:AA79" si="209">AVERAGE(V78,X78,Y78,Z78)</f>
        <v>1.7617871042356799E-3</v>
      </c>
      <c r="AB78" s="23"/>
      <c r="AC78" s="60">
        <f t="shared" ref="AC78:AC79" si="210">AVERAGE(X78,Y78,Z78,AA78)</f>
        <v>1.6135863680311483E-3</v>
      </c>
      <c r="AD78" s="60">
        <f t="shared" ref="AD78:AD79" si="211">AVERAGE(Y78,Z78,AA78,AC78)</f>
        <v>1.7279149852666962E-3</v>
      </c>
      <c r="AE78" s="60">
        <f t="shared" ref="AE78:AE79" si="212">AVERAGE(Z78,AA78,AC78,AD78)</f>
        <v>1.7167959975772748E-3</v>
      </c>
      <c r="AF78" s="60">
        <f t="shared" ref="AF78:AF79" si="213">AVERAGE(AA78,AC78,AD78,AE78)</f>
        <v>1.7050211137776996E-3</v>
      </c>
      <c r="AG78" s="23"/>
    </row>
    <row r="79" spans="1:33" outlineLevel="1" x14ac:dyDescent="0.3">
      <c r="A79" s="138"/>
      <c r="B79" s="199" t="s">
        <v>13</v>
      </c>
      <c r="C79" s="200"/>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7"/>
        <v>2.1111956602481441E-3</v>
      </c>
      <c r="Z79" s="60">
        <f t="shared" si="208"/>
        <v>1.5794790646792983E-3</v>
      </c>
      <c r="AA79" s="60">
        <f t="shared" si="209"/>
        <v>1.534348830849127E-3</v>
      </c>
      <c r="AB79" s="23"/>
      <c r="AC79" s="60">
        <f t="shared" si="210"/>
        <v>8.114642222774816E-4</v>
      </c>
      <c r="AD79" s="60">
        <f t="shared" si="211"/>
        <v>1.5091219445135127E-3</v>
      </c>
      <c r="AE79" s="60">
        <f t="shared" si="212"/>
        <v>1.358603515579855E-3</v>
      </c>
      <c r="AF79" s="60">
        <f t="shared" si="213"/>
        <v>1.3033846283049941E-3</v>
      </c>
      <c r="AG79" s="23"/>
    </row>
    <row r="80" spans="1:33" outlineLevel="1" x14ac:dyDescent="0.3">
      <c r="A80" s="138"/>
      <c r="B80" s="199" t="s">
        <v>5</v>
      </c>
      <c r="C80" s="200"/>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v>240</v>
      </c>
      <c r="AA80" s="63">
        <v>250</v>
      </c>
      <c r="AB80" s="62"/>
      <c r="AC80" s="63">
        <v>265</v>
      </c>
      <c r="AD80" s="63">
        <v>270</v>
      </c>
      <c r="AE80" s="63">
        <v>280</v>
      </c>
      <c r="AF80" s="63">
        <v>290</v>
      </c>
      <c r="AG80" s="62"/>
    </row>
    <row r="81" spans="1:33" outlineLevel="1" x14ac:dyDescent="0.3">
      <c r="A81" s="138"/>
      <c r="B81" s="199" t="s">
        <v>6</v>
      </c>
      <c r="C81" s="200"/>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v>1100</v>
      </c>
      <c r="AA81" s="58">
        <v>1212</v>
      </c>
      <c r="AB81" s="30">
        <f>+SUM(X81:AA81)</f>
        <v>4758.3798074999995</v>
      </c>
      <c r="AC81" s="58">
        <v>1200</v>
      </c>
      <c r="AD81" s="58">
        <v>1213</v>
      </c>
      <c r="AE81" s="58">
        <v>1211</v>
      </c>
      <c r="AF81" s="58">
        <v>1300</v>
      </c>
      <c r="AG81" s="30">
        <f>+SUM(AC81:AF81)</f>
        <v>4924</v>
      </c>
    </row>
    <row r="82" spans="1:33" outlineLevel="1" x14ac:dyDescent="0.3">
      <c r="A82" s="138"/>
      <c r="B82" s="197" t="s">
        <v>17</v>
      </c>
      <c r="C82" s="198"/>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4.583333333333333</v>
      </c>
      <c r="AA82" s="66">
        <f>IF((AA81)&gt;0,(AA81/AA80),0)</f>
        <v>4.8479999999999999</v>
      </c>
      <c r="AB82" s="101">
        <f>+SUM(X82:AA82)</f>
        <v>20.969612278985505</v>
      </c>
      <c r="AC82" s="66">
        <f>IF((AC81)&gt;0,(AC81/AC80),0)</f>
        <v>4.5283018867924527</v>
      </c>
      <c r="AD82" s="66">
        <f>IF((AD81)&gt;0,(AD81/AD80),0)</f>
        <v>4.4925925925925929</v>
      </c>
      <c r="AE82" s="66">
        <f>IF((AE81)&gt;0,(AE81/AE80),0)</f>
        <v>4.3250000000000002</v>
      </c>
      <c r="AF82" s="66">
        <f>IF((AF81)&gt;0,(AF81/AF80),0)</f>
        <v>4.4827586206896548</v>
      </c>
      <c r="AG82" s="101">
        <f>+SUM(AC82:AF82)</f>
        <v>17.8286531000747</v>
      </c>
    </row>
    <row r="83" spans="1:33" ht="17.399999999999999" x14ac:dyDescent="0.45">
      <c r="A83" s="138"/>
      <c r="B83" s="191" t="s">
        <v>24</v>
      </c>
      <c r="C83" s="192"/>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hidden="1" outlineLevel="1" x14ac:dyDescent="0.3">
      <c r="A84" s="138"/>
      <c r="B84" s="199" t="s">
        <v>95</v>
      </c>
      <c r="C84" s="200"/>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4">SUM(S84:V84)</f>
        <v>1669</v>
      </c>
      <c r="X84" s="133">
        <v>275</v>
      </c>
      <c r="Y84" s="58">
        <f>X84</f>
        <v>275</v>
      </c>
      <c r="Z84" s="58">
        <v>300</v>
      </c>
      <c r="AA84" s="58">
        <v>400</v>
      </c>
      <c r="AB84" s="30">
        <f t="shared" ref="AB84" si="215">SUM(X84:AA84)</f>
        <v>1250</v>
      </c>
      <c r="AC84" s="58">
        <v>350</v>
      </c>
      <c r="AD84" s="58">
        <v>500</v>
      </c>
      <c r="AE84" s="58">
        <v>540</v>
      </c>
      <c r="AF84" s="58">
        <v>525</v>
      </c>
      <c r="AG84" s="30">
        <f t="shared" ref="AG84" si="216">SUM(AC84:AF84)</f>
        <v>1915</v>
      </c>
    </row>
    <row r="85" spans="1:33" ht="17.399999999999999" collapsed="1" x14ac:dyDescent="0.45">
      <c r="A85" s="138"/>
      <c r="B85" s="191" t="s">
        <v>96</v>
      </c>
      <c r="C85" s="192"/>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v>98</v>
      </c>
      <c r="Z86" s="58">
        <v>100</v>
      </c>
      <c r="AA86" s="58">
        <v>103</v>
      </c>
      <c r="AB86" s="30">
        <f>SUM(X86:AA86)</f>
        <v>395</v>
      </c>
      <c r="AC86" s="58">
        <v>104</v>
      </c>
      <c r="AD86" s="58">
        <v>111</v>
      </c>
      <c r="AE86" s="58">
        <v>108</v>
      </c>
      <c r="AF86" s="58">
        <v>114</v>
      </c>
      <c r="AG86" s="30">
        <f>SUM(AC86:AF86)</f>
        <v>437</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7">SUM(N87:Q87)</f>
        <v>3022</v>
      </c>
      <c r="S87" s="133">
        <v>723</v>
      </c>
      <c r="T87" s="133">
        <v>927</v>
      </c>
      <c r="U87" s="133">
        <v>907</v>
      </c>
      <c r="V87" s="133">
        <f>3488-U87-T87-S87</f>
        <v>931</v>
      </c>
      <c r="W87" s="30">
        <f t="shared" ref="W87:W89" si="218">SUM(S87:V87)</f>
        <v>3488</v>
      </c>
      <c r="X87" s="133">
        <v>999</v>
      </c>
      <c r="Y87" s="58">
        <f t="shared" ref="Y87:Y88" si="219">AVERAGE(T87,U87,V87,X87)</f>
        <v>941</v>
      </c>
      <c r="Z87" s="58">
        <v>960</v>
      </c>
      <c r="AA87" s="58">
        <v>978</v>
      </c>
      <c r="AB87" s="30">
        <f t="shared" ref="AB87:AB89" si="220">SUM(X87:AA87)</f>
        <v>3878</v>
      </c>
      <c r="AC87" s="58">
        <v>1000</v>
      </c>
      <c r="AD87" s="58">
        <f>1000*1.04</f>
        <v>1040</v>
      </c>
      <c r="AE87" s="58">
        <v>1076</v>
      </c>
      <c r="AF87" s="58">
        <v>1111</v>
      </c>
      <c r="AG87" s="30">
        <f t="shared" ref="AG87:AG89" si="221">SUM(AC87:AF87)</f>
        <v>4227</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7"/>
        <v>511</v>
      </c>
      <c r="S88" s="133">
        <v>113</v>
      </c>
      <c r="T88" s="133">
        <v>160</v>
      </c>
      <c r="U88" s="133">
        <v>148</v>
      </c>
      <c r="V88" s="133">
        <f>569-U88-T88-S88</f>
        <v>148</v>
      </c>
      <c r="W88" s="30">
        <f t="shared" si="218"/>
        <v>569</v>
      </c>
      <c r="X88" s="133">
        <v>149</v>
      </c>
      <c r="Y88" s="58">
        <f t="shared" si="219"/>
        <v>151.25</v>
      </c>
      <c r="Z88" s="58">
        <v>178</v>
      </c>
      <c r="AA88" s="58">
        <v>190</v>
      </c>
      <c r="AB88" s="30">
        <f t="shared" si="220"/>
        <v>668.25</v>
      </c>
      <c r="AC88" s="58">
        <v>200</v>
      </c>
      <c r="AD88" s="58">
        <v>201</v>
      </c>
      <c r="AE88" s="58">
        <v>204</v>
      </c>
      <c r="AF88" s="58">
        <v>211</v>
      </c>
      <c r="AG88" s="30">
        <f t="shared" si="221"/>
        <v>816</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7"/>
        <v>335</v>
      </c>
      <c r="S89" s="149">
        <v>87</v>
      </c>
      <c r="T89" s="157">
        <v>107</v>
      </c>
      <c r="U89" s="157">
        <v>103</v>
      </c>
      <c r="V89" s="162">
        <f>402-U89-T89-S89</f>
        <v>105</v>
      </c>
      <c r="W89" s="68">
        <f t="shared" si="218"/>
        <v>402</v>
      </c>
      <c r="X89" s="149">
        <v>93</v>
      </c>
      <c r="Y89" s="77">
        <v>96</v>
      </c>
      <c r="Z89" s="77">
        <v>89</v>
      </c>
      <c r="AA89" s="106">
        <v>100</v>
      </c>
      <c r="AB89" s="68">
        <f t="shared" si="220"/>
        <v>378</v>
      </c>
      <c r="AC89" s="105">
        <v>100</v>
      </c>
      <c r="AD89" s="77">
        <v>90</v>
      </c>
      <c r="AE89" s="77">
        <v>92</v>
      </c>
      <c r="AF89" s="106">
        <f t="shared" ref="AF89" si="222">AVERAGE(AA89,AC89,AD89,AE89)</f>
        <v>95.5</v>
      </c>
      <c r="AG89" s="68">
        <f t="shared" si="221"/>
        <v>377.5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3:C3"/>
    <mergeCell ref="B4:C4"/>
    <mergeCell ref="B5:C5"/>
    <mergeCell ref="B11:C11"/>
    <mergeCell ref="B12:C12"/>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21875" customWidth="1"/>
    <col min="11" max="11" width="1.109375" customWidth="1"/>
    <col min="12" max="12" width="22.6640625" customWidth="1"/>
    <col min="13" max="20" width="12.21875" customWidth="1"/>
  </cols>
  <sheetData>
    <row r="1" spans="2:14" x14ac:dyDescent="0.3">
      <c r="B1" s="86" t="s">
        <v>153</v>
      </c>
    </row>
    <row r="2" spans="2:14" x14ac:dyDescent="0.3">
      <c r="B2" s="86"/>
    </row>
    <row r="3" spans="2:14" x14ac:dyDescent="0.3">
      <c r="B3" s="86"/>
    </row>
    <row r="4" spans="2:14" x14ac:dyDescent="0.3">
      <c r="B4" s="6"/>
      <c r="I4" s="6"/>
      <c r="L4" s="6"/>
    </row>
    <row r="5" spans="2:14" ht="12.6" customHeight="1" x14ac:dyDescent="0.3">
      <c r="B5" s="6"/>
    </row>
    <row r="6" spans="2:14" ht="21" customHeight="1" x14ac:dyDescent="0.3">
      <c r="C6" s="8"/>
      <c r="D6" s="9"/>
      <c r="E6" s="9"/>
      <c r="F6" s="9"/>
      <c r="H6" s="6"/>
    </row>
    <row r="7" spans="2:14" s="5" customFormat="1" ht="21" customHeight="1" x14ac:dyDescent="0.3">
      <c r="C7" s="9"/>
      <c r="D7" s="9"/>
      <c r="E7" s="9"/>
      <c r="F7" s="9"/>
      <c r="H7" s="210"/>
      <c r="I7" s="210"/>
      <c r="J7" s="210"/>
      <c r="K7" s="210"/>
      <c r="L7" s="210"/>
      <c r="M7" s="210"/>
      <c r="N7" s="21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2020-07-25T18:45:30Z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