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E4428869-8525-44E2-90B8-4FB32D6B1470}"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3" i="3" l="1"/>
  <c r="Y78" i="3"/>
  <c r="Y42" i="3"/>
  <c r="Y52" i="3"/>
  <c r="Y36" i="3"/>
  <c r="Y44" i="3"/>
  <c r="Y54" i="3"/>
  <c r="Y37" i="3"/>
  <c r="Y46" i="3"/>
  <c r="Y56" i="3"/>
  <c r="Y38" i="3"/>
  <c r="Y48" i="3"/>
  <c r="Y58" i="3"/>
  <c r="Y39" i="3"/>
  <c r="Y40" i="3"/>
  <c r="Y13" i="3"/>
  <c r="Y14" i="3"/>
  <c r="Y15" i="3"/>
  <c r="Y17" i="3"/>
  <c r="Y18" i="3"/>
  <c r="Y19" i="3"/>
  <c r="Y20" i="3"/>
  <c r="Y21" i="3"/>
  <c r="Y23" i="3"/>
  <c r="Y24" i="3"/>
  <c r="Z43" i="3"/>
  <c r="Z42" i="3"/>
  <c r="Z53" i="3"/>
  <c r="Z52" i="3"/>
  <c r="Z36" i="3"/>
  <c r="Z45" i="3"/>
  <c r="Z44" i="3"/>
  <c r="Z55" i="3"/>
  <c r="Z54" i="3"/>
  <c r="Z37" i="3"/>
  <c r="Z47" i="3"/>
  <c r="Z46" i="3"/>
  <c r="Z57" i="3"/>
  <c r="Z56" i="3"/>
  <c r="Z38" i="3"/>
  <c r="Z49" i="3"/>
  <c r="Z48" i="3"/>
  <c r="Z59" i="3"/>
  <c r="Z58" i="3"/>
  <c r="Z39" i="3"/>
  <c r="Z40" i="3"/>
  <c r="Z13" i="3"/>
  <c r="Z14" i="3"/>
  <c r="Z15" i="3"/>
  <c r="Z17" i="3"/>
  <c r="Z18" i="3"/>
  <c r="Z19" i="3"/>
  <c r="Z20" i="3"/>
  <c r="Z21" i="3"/>
  <c r="Z23" i="3"/>
  <c r="Z24" i="3"/>
  <c r="AA43" i="3"/>
  <c r="AA42" i="3"/>
  <c r="AA53" i="3"/>
  <c r="AA52" i="3"/>
  <c r="AA36" i="3"/>
  <c r="AA45" i="3"/>
  <c r="AA44" i="3"/>
  <c r="AA55" i="3"/>
  <c r="AA54" i="3"/>
  <c r="AA37" i="3"/>
  <c r="AA47" i="3"/>
  <c r="AA46" i="3"/>
  <c r="AA57" i="3"/>
  <c r="AA56" i="3"/>
  <c r="AA38" i="3"/>
  <c r="AA49" i="3"/>
  <c r="AA48" i="3"/>
  <c r="AA59" i="3"/>
  <c r="AA58" i="3"/>
  <c r="AA39" i="3"/>
  <c r="AA40" i="3"/>
  <c r="AA13" i="3"/>
  <c r="AA14" i="3"/>
  <c r="AA15" i="3"/>
  <c r="AA17" i="3"/>
  <c r="AA18" i="3"/>
  <c r="AA19" i="3"/>
  <c r="AA20" i="3"/>
  <c r="AA21" i="3"/>
  <c r="AA23" i="3"/>
  <c r="AA24" i="3"/>
  <c r="AB24" i="3"/>
  <c r="AB13" i="3"/>
  <c r="AB14" i="3"/>
  <c r="AB15" i="3"/>
  <c r="AB17" i="3"/>
  <c r="AB18" i="3"/>
  <c r="AB19" i="3"/>
  <c r="AB20" i="3"/>
  <c r="AB21" i="3"/>
  <c r="AB23" i="3"/>
  <c r="AB76"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T53" i="3"/>
  <c r="U53" i="3"/>
  <c r="V53" i="3"/>
  <c r="X53" i="3"/>
  <c r="T45" i="3"/>
  <c r="U45" i="3"/>
  <c r="V45" i="3"/>
  <c r="X45" i="3"/>
  <c r="T55" i="3"/>
  <c r="U55" i="3"/>
  <c r="V55" i="3"/>
  <c r="X55" i="3"/>
  <c r="T47" i="3"/>
  <c r="U47" i="3"/>
  <c r="V47" i="3"/>
  <c r="X47" i="3"/>
  <c r="T57" i="3"/>
  <c r="U57" i="3"/>
  <c r="V57" i="3"/>
  <c r="X57" i="3"/>
  <c r="T49" i="3"/>
  <c r="U49" i="3"/>
  <c r="V49" i="3"/>
  <c r="X49" i="3"/>
  <c r="T59" i="3"/>
  <c r="U59" i="3"/>
  <c r="V59" i="3"/>
  <c r="X59" i="3"/>
  <c r="Y22" i="3"/>
  <c r="Y25" i="3"/>
  <c r="Z81" i="3"/>
  <c r="Z22" i="3"/>
  <c r="Z25" i="3"/>
  <c r="AA81" i="3"/>
  <c r="AA22" i="3"/>
  <c r="AA25" i="3"/>
  <c r="AC81" i="3"/>
  <c r="AC42" i="3"/>
  <c r="AC52" i="3"/>
  <c r="AC36" i="3"/>
  <c r="AC44" i="3"/>
  <c r="AC55" i="3"/>
  <c r="AC54" i="3"/>
  <c r="AC37" i="3"/>
  <c r="AC46" i="3"/>
  <c r="AC57" i="3"/>
  <c r="AC56" i="3"/>
  <c r="AC38" i="3"/>
  <c r="AC48" i="3"/>
  <c r="AC59" i="3"/>
  <c r="AC58" i="3"/>
  <c r="AC39" i="3"/>
  <c r="AC40" i="3"/>
  <c r="AC13" i="3"/>
  <c r="AC14" i="3"/>
  <c r="AC15" i="3"/>
  <c r="AC17" i="3"/>
  <c r="AC18" i="3"/>
  <c r="AC19" i="3"/>
  <c r="AC20" i="3"/>
  <c r="AC21" i="3"/>
  <c r="AC22" i="3"/>
  <c r="AC23" i="3"/>
  <c r="X76" i="3"/>
  <c r="AC76" i="3"/>
  <c r="AC24" i="3"/>
  <c r="AC25" i="3"/>
  <c r="AD81" i="3"/>
  <c r="AD43" i="3"/>
  <c r="AD42" i="3"/>
  <c r="AD53" i="3"/>
  <c r="AD52" i="3"/>
  <c r="AD36" i="3"/>
  <c r="AD45" i="3"/>
  <c r="AD44" i="3"/>
  <c r="AD55" i="3"/>
  <c r="AD54" i="3"/>
  <c r="AD37" i="3"/>
  <c r="AD47" i="3"/>
  <c r="AD46" i="3"/>
  <c r="AD57" i="3"/>
  <c r="AD56" i="3"/>
  <c r="AD38" i="3"/>
  <c r="AD49" i="3"/>
  <c r="AD48" i="3"/>
  <c r="AD59" i="3"/>
  <c r="AD58" i="3"/>
  <c r="AD39" i="3"/>
  <c r="AD40" i="3"/>
  <c r="AD13" i="3"/>
  <c r="AD14" i="3"/>
  <c r="AD15" i="3"/>
  <c r="AD17" i="3"/>
  <c r="AD18" i="3"/>
  <c r="AD19" i="3"/>
  <c r="AD20" i="3"/>
  <c r="AD21" i="3"/>
  <c r="AD22" i="3"/>
  <c r="AD23" i="3"/>
  <c r="AD76" i="3"/>
  <c r="AD24" i="3"/>
  <c r="AD25" i="3"/>
  <c r="AE81" i="3"/>
  <c r="AE43" i="3"/>
  <c r="AE42" i="3"/>
  <c r="AE53" i="3"/>
  <c r="AE52" i="3"/>
  <c r="AE36" i="3"/>
  <c r="AE45" i="3"/>
  <c r="AE44" i="3"/>
  <c r="AE55" i="3"/>
  <c r="AE54" i="3"/>
  <c r="AE37" i="3"/>
  <c r="AE47" i="3"/>
  <c r="AE46" i="3"/>
  <c r="AE57" i="3"/>
  <c r="AE56" i="3"/>
  <c r="AE38" i="3"/>
  <c r="AE49" i="3"/>
  <c r="AE48" i="3"/>
  <c r="AE59" i="3"/>
  <c r="AE58" i="3"/>
  <c r="AE39" i="3"/>
  <c r="AE40" i="3"/>
  <c r="AE13" i="3"/>
  <c r="AE14" i="3"/>
  <c r="AE15" i="3"/>
  <c r="AE70" i="3"/>
  <c r="AE17" i="3"/>
  <c r="AE71" i="3"/>
  <c r="AE18" i="3"/>
  <c r="AE72" i="3"/>
  <c r="AE19" i="3"/>
  <c r="AE20" i="3"/>
  <c r="AE21" i="3"/>
  <c r="AE22" i="3"/>
  <c r="AE23" i="3"/>
  <c r="AE76" i="3"/>
  <c r="AE24" i="3"/>
  <c r="AE25" i="3"/>
  <c r="AF81" i="3"/>
  <c r="AF43" i="3"/>
  <c r="AF42" i="3"/>
  <c r="AF53" i="3"/>
  <c r="AF52" i="3"/>
  <c r="AF36" i="3"/>
  <c r="AF45" i="3"/>
  <c r="AF44" i="3"/>
  <c r="AF55" i="3"/>
  <c r="AF54" i="3"/>
  <c r="AF37" i="3"/>
  <c r="AF47" i="3"/>
  <c r="AF46" i="3"/>
  <c r="AF57" i="3"/>
  <c r="AF56" i="3"/>
  <c r="AF38" i="3"/>
  <c r="AF49" i="3"/>
  <c r="AF48" i="3"/>
  <c r="AF59" i="3"/>
  <c r="AF58" i="3"/>
  <c r="AF39" i="3"/>
  <c r="AF40" i="3"/>
  <c r="AF13" i="3"/>
  <c r="AF14" i="3"/>
  <c r="AF15" i="3"/>
  <c r="AF70" i="3"/>
  <c r="AF17" i="3"/>
  <c r="AF18" i="3"/>
  <c r="AF19" i="3"/>
  <c r="AF20" i="3"/>
  <c r="AF21" i="3"/>
  <c r="AF22"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22"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79" i="3"/>
  <c r="Y82" i="3"/>
  <c r="Y29" i="3"/>
  <c r="Z79" i="3"/>
  <c r="Z80" i="3"/>
  <c r="Z82" i="3"/>
  <c r="Z29" i="3"/>
  <c r="AA79" i="3"/>
  <c r="AA80" i="3"/>
  <c r="AA82" i="3"/>
  <c r="AA29" i="3"/>
  <c r="AB29" i="3"/>
  <c r="AC79" i="3"/>
  <c r="AC80" i="3"/>
  <c r="AC82" i="3"/>
  <c r="AC29" i="3"/>
  <c r="AD79" i="3"/>
  <c r="AD80" i="3"/>
  <c r="AD82" i="3"/>
  <c r="AD29" i="3"/>
  <c r="AE79" i="3"/>
  <c r="AE80" i="3"/>
  <c r="AE82" i="3"/>
  <c r="AE29" i="3"/>
  <c r="AF79" i="3"/>
  <c r="AF80" i="3"/>
  <c r="AF82" i="3"/>
  <c r="AF29" i="3"/>
  <c r="AG29" i="3"/>
  <c r="U31" i="3"/>
  <c r="V31" i="3"/>
  <c r="X31" i="3"/>
  <c r="Y31" i="3"/>
  <c r="AD84" i="3"/>
  <c r="AE84" i="3"/>
  <c r="AF84" i="3"/>
  <c r="Y84" i="3"/>
  <c r="X69" i="3"/>
  <c r="X70" i="3"/>
  <c r="X71" i="3"/>
  <c r="X72" i="3"/>
  <c r="AG73" i="3"/>
  <c r="AB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G69" i="3"/>
  <c r="AE27" i="3"/>
  <c r="AF75" i="3"/>
  <c r="AG74" i="3"/>
  <c r="AG75" i="3"/>
  <c r="AG76" i="3"/>
  <c r="AD27" i="3"/>
  <c r="AG27" i="3"/>
  <c r="AF27" i="3"/>
  <c r="V30" i="3"/>
  <c r="U30" i="3"/>
  <c r="Z31"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rgb="FF000000"/>
            <rFont val="Tahoma"/>
            <family val="2"/>
          </rPr>
          <t>Management Guidance:</t>
        </r>
        <r>
          <rPr>
            <sz val="9"/>
            <color rgb="FF000000"/>
            <rFont val="Tahoma"/>
            <family val="2"/>
          </rPr>
          <t xml:space="preserve"> "We expect total expenses in 2020 to be between $52-56 billion, down from the prior range of $54-59 billion."
</t>
        </r>
        <r>
          <rPr>
            <b/>
            <sz val="9"/>
            <color rgb="FF000000"/>
            <rFont val="Tahoma"/>
            <family val="2"/>
          </rPr>
          <t xml:space="preserve">Source: </t>
        </r>
        <r>
          <rPr>
            <sz val="9"/>
            <color rgb="FF000000"/>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rgb="FF000000"/>
            <rFont val="Tahoma"/>
            <family val="2"/>
          </rPr>
          <t xml:space="preserve">Management Guidance: </t>
        </r>
        <r>
          <rPr>
            <sz val="9"/>
            <color rgb="FF000000"/>
            <rFont val="Tahoma"/>
            <family val="2"/>
          </rPr>
          <t xml:space="preserve">"We expect our full-year 2020 tax rate will be in the high-teens, although we may see fluctuations in our quarterly rate depending on our financial results."
</t>
        </r>
        <r>
          <rPr>
            <b/>
            <sz val="9"/>
            <color rgb="FF000000"/>
            <rFont val="Tahoma"/>
            <family val="2"/>
          </rPr>
          <t>Source:</t>
        </r>
        <r>
          <rPr>
            <sz val="9"/>
            <color rgb="FF000000"/>
            <rFont val="Tahoma"/>
            <family val="2"/>
          </rPr>
          <t xml:space="preserve"> 1Q2020 earnings conference call</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<sst xmlns="http://schemas.openxmlformats.org/spreadsheetml/2006/main" count="439" uniqueCount="157">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</sst>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2667.3500000000004</c:v>
                </c:pt>
                <c:pt idx="5">
                  <c:v>2643.6430235759344</c:v>
                </c:pt>
                <c:pt idx="6">
                  <c:v>2696.4418044583372</c:v>
                </c:pt>
                <c:pt idx="7">
                  <c:v>2791.03</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6.669404990180916</c:v>
                </c:pt>
                <c:pt idx="5">
                  <c:v>7.27393805148703</c:v>
                </c:pt>
                <c:pt idx="6">
                  <c:v>8.8973636256403843</c:v>
                </c:pt>
                <c:pt idx="7">
                  <c:v>7.7066283956541364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X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5" t="s">
        <v>14</v>
      </c>
      <c r="C2" s="196"/>
      <c r="K2" s="12"/>
    </row>
    <row r="3" spans="1:61" x14ac:dyDescent="0.3">
      <c r="B3" s="185" t="s">
        <v>154</v>
      </c>
      <c r="C3" s="186"/>
      <c r="D3" s="13"/>
      <c r="G3" s="14"/>
      <c r="H3" s="14"/>
    </row>
    <row r="4" spans="1:61" x14ac:dyDescent="0.3">
      <c r="B4" s="187" t="s">
        <v>155</v>
      </c>
      <c r="C4" s="188"/>
      <c r="D4" s="13"/>
      <c r="G4" s="14"/>
      <c r="H4" s="14"/>
      <c r="BI4" s="4" t="s">
        <v>15</v>
      </c>
    </row>
    <row r="5" spans="1:61" x14ac:dyDescent="0.3">
      <c r="B5" s="189" t="s">
        <v>156</v>
      </c>
      <c r="C5" s="190"/>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207"/>
      <c r="B11" s="191" t="s">
        <v>74</v>
      </c>
      <c r="C11" s="19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207"/>
      <c r="B12" s="193" t="s">
        <v>3</v>
      </c>
      <c r="C12" s="194"/>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9" t="s">
        <v>19</v>
      </c>
      <c r="C13" s="20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17575.049294999997</v>
      </c>
      <c r="Z13" s="133">
        <f t="shared" si="0"/>
        <v>19315.917122685572</v>
      </c>
      <c r="AA13" s="133">
        <f t="shared" si="0"/>
        <v>23756.338253393107</v>
      </c>
      <c r="AB13" s="128">
        <f>SUM(X13:AA13)</f>
        <v>78384.304671078688</v>
      </c>
      <c r="AC13" s="133">
        <f t="shared" ref="AC13:AF13" si="1">+AC40</f>
        <v>21144.953014295032</v>
      </c>
      <c r="AD13" s="133">
        <f t="shared" si="1"/>
        <v>21390.799035516702</v>
      </c>
      <c r="AE13" s="133">
        <f t="shared" si="1"/>
        <v>24611.669020886191</v>
      </c>
      <c r="AF13" s="133">
        <f t="shared" si="1"/>
        <v>31291.435664748584</v>
      </c>
      <c r="AG13" s="128">
        <f>SUM(AC13:AF13)</f>
        <v>98438.856735446505</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3339.2593660499983</v>
      </c>
      <c r="Z14" s="135">
        <f>+Z13*(1-Z69)</f>
        <v>3959.7630101505415</v>
      </c>
      <c r="AA14" s="135">
        <f>+AA13*(1-AA69)</f>
        <v>4513.7042681446892</v>
      </c>
      <c r="AB14" s="129">
        <f>SUM(X14:AA14)</f>
        <v>15271.72664434523</v>
      </c>
      <c r="AC14" s="34">
        <f>+AC13*(1-AC69)</f>
        <v>4123.2658377875305</v>
      </c>
      <c r="AD14" s="34">
        <f>+AD13*(1-AD69)</f>
        <v>3957.2978215705912</v>
      </c>
      <c r="AE14" s="34">
        <f>+AE13*(1-AE69)</f>
        <v>4553.1587688639465</v>
      </c>
      <c r="AF14" s="34">
        <f>+AF13*(1-AF69)</f>
        <v>5788.91559797849</v>
      </c>
      <c r="AG14" s="129">
        <f>SUM(AC14:AF14)</f>
        <v>18422.638026200559</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14235.789928949998</v>
      </c>
      <c r="Z15" s="40">
        <f t="shared" ref="Z15" si="13">+Z13-Z14</f>
        <v>15356.15411253503</v>
      </c>
      <c r="AA15" s="40">
        <f t="shared" ref="AA15" si="14">+AA13-AA14</f>
        <v>19242.633985248416</v>
      </c>
      <c r="AB15" s="130">
        <f>+AB13-AB14</f>
        <v>63112.578026733456</v>
      </c>
      <c r="AC15" s="40">
        <f>+AC13-AC14</f>
        <v>17021.687176507501</v>
      </c>
      <c r="AD15" s="40">
        <f t="shared" ref="AD15" si="15">+AD13-AD14</f>
        <v>17433.501213946111</v>
      </c>
      <c r="AE15" s="40">
        <f t="shared" ref="AE15" si="16">+AE13-AE14</f>
        <v>20058.510252022243</v>
      </c>
      <c r="AF15" s="40">
        <f t="shared" ref="AF15" si="17">+AF13-AF14</f>
        <v>25502.520066770092</v>
      </c>
      <c r="AG15" s="130">
        <f>+AG13-AG14</f>
        <v>80016.21870924595</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4218.0118307999992</v>
      </c>
      <c r="Z17" s="29">
        <f>+Z13*Z70</f>
        <v>4539.2405238311094</v>
      </c>
      <c r="AA17" s="29">
        <f>+AA13*AA70</f>
        <v>5226.3944157464839</v>
      </c>
      <c r="AB17" s="128">
        <f t="shared" ref="AB17:AB19" si="22">SUM(X17:AA17)</f>
        <v>17998.646770377592</v>
      </c>
      <c r="AC17" s="29">
        <f>+AC13*AC70</f>
        <v>4969.063958359332</v>
      </c>
      <c r="AD17" s="29">
        <f>+AD13*AD70</f>
        <v>4705.9757878136743</v>
      </c>
      <c r="AE17" s="29">
        <f>+AE13*AE70</f>
        <v>5414.5671845949619</v>
      </c>
      <c r="AF17" s="29">
        <f>+AF13*AF70</f>
        <v>6884.1158462446883</v>
      </c>
      <c r="AG17" s="128">
        <f t="shared" ref="AG17:AG19" si="23">SUM(AC17:AF17)</f>
        <v>21973.722777012656</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3163.5088730999992</v>
      </c>
      <c r="Z18" s="29">
        <f>+Z13*Z71</f>
        <v>3187.1263252431195</v>
      </c>
      <c r="AA18" s="29">
        <f>+AA13*AA71</f>
        <v>3563.4507380089658</v>
      </c>
      <c r="AB18" s="128">
        <f t="shared" si="22"/>
        <v>12701.085936352085</v>
      </c>
      <c r="AC18" s="29">
        <f>+AC13*AC71</f>
        <v>3467.7722943443855</v>
      </c>
      <c r="AD18" s="29">
        <f>+AD13*AD71</f>
        <v>3422.5278456826723</v>
      </c>
      <c r="AE18" s="29">
        <f>+AE13*AE71</f>
        <v>3937.8670433417906</v>
      </c>
      <c r="AF18" s="29">
        <f>+AF13*AF71</f>
        <v>5006.6297063597731</v>
      </c>
      <c r="AG18" s="128">
        <f t="shared" si="23"/>
        <v>15834.796889728623</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2109.0059153999996</v>
      </c>
      <c r="Z19" s="34">
        <f>Z13*Z72</f>
        <v>1719.1166239190159</v>
      </c>
      <c r="AA19" s="34">
        <f>AA13*AA72</f>
        <v>1876.7507220180555</v>
      </c>
      <c r="AB19" s="129">
        <f t="shared" si="22"/>
        <v>7287.8732613370703</v>
      </c>
      <c r="AC19" s="34">
        <f>AC13*AC72</f>
        <v>1903.0457712865527</v>
      </c>
      <c r="AD19" s="34">
        <f>AD13*AD72</f>
        <v>1711.2639228413361</v>
      </c>
      <c r="AE19" s="34">
        <f>AE13*AE72</f>
        <v>1968.9335216708953</v>
      </c>
      <c r="AF19" s="34">
        <f>AF13*AF72</f>
        <v>2315.5662391913952</v>
      </c>
      <c r="AG19" s="129">
        <f t="shared" si="23"/>
        <v>7898.8094549901798</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9490.526619299997</v>
      </c>
      <c r="Z20" s="37">
        <f t="shared" si="24"/>
        <v>9445.4834729932445</v>
      </c>
      <c r="AA20" s="37">
        <f t="shared" si="24"/>
        <v>10666.595875773506</v>
      </c>
      <c r="AB20" s="131">
        <f t="shared" si="24"/>
        <v>37987.605968066753</v>
      </c>
      <c r="AC20" s="37">
        <f t="shared" si="24"/>
        <v>10339.882023990271</v>
      </c>
      <c r="AD20" s="37">
        <f t="shared" si="24"/>
        <v>9839.7675563376815</v>
      </c>
      <c r="AE20" s="37">
        <f t="shared" si="24"/>
        <v>11321.367749607647</v>
      </c>
      <c r="AF20" s="37">
        <f t="shared" si="24"/>
        <v>14206.311791795857</v>
      </c>
      <c r="AG20" s="131">
        <f t="shared" si="24"/>
        <v>45707.329121731462</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4745.2633096500012</v>
      </c>
      <c r="Z21" s="40">
        <f t="shared" ref="Z21" si="33">Z15-Z20</f>
        <v>5910.6706395417859</v>
      </c>
      <c r="AA21" s="40">
        <f>AA15-AA20</f>
        <v>8576.03810947491</v>
      </c>
      <c r="AB21" s="130">
        <f>AB15-AB20</f>
        <v>25124.972058666703</v>
      </c>
      <c r="AC21" s="40">
        <f>AC15-AC20</f>
        <v>6681.8051525172305</v>
      </c>
      <c r="AD21" s="40">
        <f t="shared" ref="AD21" si="34">AD15-AD20</f>
        <v>7593.733657608429</v>
      </c>
      <c r="AE21" s="40">
        <f t="shared" ref="AE21" si="35">AE15-AE20</f>
        <v>8737.1425024145956</v>
      </c>
      <c r="AF21" s="40">
        <f>AF15-AF20</f>
        <v>11296.208274974235</v>
      </c>
      <c r="AG21" s="130">
        <f>AG15-AG20</f>
        <v>34308.889587514488</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201" t="s">
        <v>23</v>
      </c>
      <c r="C23" s="202"/>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4902.5133096500012</v>
      </c>
      <c r="Z23" s="40">
        <f t="shared" si="42"/>
        <v>6055.7331395417859</v>
      </c>
      <c r="AA23" s="40">
        <f t="shared" si="42"/>
        <v>8721.36623447491</v>
      </c>
      <c r="AB23" s="130">
        <f t="shared" si="42"/>
        <v>25540.612683666703</v>
      </c>
      <c r="AC23" s="40">
        <f t="shared" si="42"/>
        <v>6785.7153087672305</v>
      </c>
      <c r="AD23" s="40">
        <f t="shared" si="42"/>
        <v>7731.621352920929</v>
      </c>
      <c r="AE23" s="40">
        <f t="shared" si="42"/>
        <v>8870.1896215552206</v>
      </c>
      <c r="AF23" s="40">
        <f t="shared" si="42"/>
        <v>11426.251548900016</v>
      </c>
      <c r="AG23" s="130">
        <f t="shared" si="42"/>
        <v>34813.777832143394</v>
      </c>
    </row>
    <row r="24" spans="1:33" ht="16.2" x14ac:dyDescent="0.45">
      <c r="A24" s="138"/>
      <c r="B24" s="199" t="s">
        <v>7</v>
      </c>
      <c r="C24" s="20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-882.45239573700019</v>
      </c>
      <c r="Z24" s="34">
        <f>+Z23*-Z76</f>
        <v>-1090.0319651175214</v>
      </c>
      <c r="AA24" s="34">
        <f>+AA23*-AA76</f>
        <v>-1569.8459222054837</v>
      </c>
      <c r="AB24" s="129">
        <f>SUM(X24:AA24)</f>
        <v>-4501.3302830600051</v>
      </c>
      <c r="AC24" s="34">
        <f>+AC23*-AC76</f>
        <v>-1193.6479606909029</v>
      </c>
      <c r="AD24" s="34">
        <f>+AD23*-AD76</f>
        <v>-1402.8587609879232</v>
      </c>
      <c r="AE24" s="34">
        <f>+AE23*-AE76</f>
        <v>-1612.6483465666429</v>
      </c>
      <c r="AF24" s="34">
        <f>+AF23*-AF76</f>
        <v>-2082.5114306735054</v>
      </c>
      <c r="AG24" s="129">
        <f>SUM(AC24:AF24)</f>
        <v>-6291.666498918974</v>
      </c>
    </row>
    <row r="25" spans="1:33" x14ac:dyDescent="0.3">
      <c r="A25" s="145"/>
      <c r="B25" s="201" t="s">
        <v>8</v>
      </c>
      <c r="C25" s="202"/>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4020.0609139130011</v>
      </c>
      <c r="Z25" s="40">
        <f t="shared" si="43"/>
        <v>4965.7011744242645</v>
      </c>
      <c r="AA25" s="40">
        <f t="shared" si="43"/>
        <v>7151.5203122694265</v>
      </c>
      <c r="AB25" s="130">
        <f t="shared" si="43"/>
        <v>21039.282400606699</v>
      </c>
      <c r="AC25" s="40">
        <f t="shared" si="43"/>
        <v>5592.0673480763271</v>
      </c>
      <c r="AD25" s="40">
        <f t="shared" si="43"/>
        <v>6328.7625919330058</v>
      </c>
      <c r="AE25" s="40">
        <f t="shared" si="43"/>
        <v>7257.5412749885782</v>
      </c>
      <c r="AF25" s="40">
        <f t="shared" si="43"/>
        <v>9343.7401182265112</v>
      </c>
      <c r="AG25" s="130">
        <f t="shared" si="43"/>
        <v>28522.11133322442</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4020.0609139130011</v>
      </c>
      <c r="Z27" s="40">
        <f t="shared" ref="Z27" si="58">+Z25-Z26</f>
        <v>4965.7011744242645</v>
      </c>
      <c r="AA27" s="40">
        <f t="shared" ref="AA27" si="59">+AA25-AA26</f>
        <v>7151.5203122694265</v>
      </c>
      <c r="AB27" s="130">
        <f t="shared" ref="AB27" si="60">+AB25-AB26</f>
        <v>21039.282400606699</v>
      </c>
      <c r="AC27" s="40">
        <f t="shared" ref="AC27" si="61">+AC25-AC26</f>
        <v>5592.0673480763271</v>
      </c>
      <c r="AD27" s="40">
        <f t="shared" ref="AD27" si="62">+AD25-AD26</f>
        <v>6328.7625919330058</v>
      </c>
      <c r="AE27" s="40">
        <f t="shared" ref="AE27" si="63">+AE25-AE26</f>
        <v>7257.5412749885782</v>
      </c>
      <c r="AF27" s="40">
        <f t="shared" ref="AF27" si="64">+AF25-AF26</f>
        <v>9343.7401182265112</v>
      </c>
      <c r="AG27" s="130">
        <f t="shared" ref="AG27" si="65">+AG25-AG26</f>
        <v>28522.11133322442</v>
      </c>
    </row>
    <row r="28" spans="1:33" x14ac:dyDescent="0.3">
      <c r="A28" s="138"/>
      <c r="B28" s="199" t="s">
        <v>0</v>
      </c>
      <c r="C28" s="20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2850.5569428159406</v>
      </c>
      <c r="AC28" s="29">
        <f>AA28*(1+AC78)-AC82</f>
        <v>2849.3922774117996</v>
      </c>
      <c r="AD28" s="29">
        <f>AC28*(1+AD78)-AD82</f>
        <v>2848.9882114477409</v>
      </c>
      <c r="AE28" s="29">
        <f>AD28*(1+AE78)-AE82</f>
        <v>2848.5294457688351</v>
      </c>
      <c r="AF28" s="29">
        <f>AE28*(1+AF78)-AF82</f>
        <v>2848.0301025614267</v>
      </c>
      <c r="AG28" s="128">
        <f>(AC28*AC25/AG25)+(AD28*AD25/AG25)+(AE28*AE25/AG25)+(AF28*AF25/AG25)</f>
        <v>2848.6368255672319</v>
      </c>
    </row>
    <row r="29" spans="1:33" ht="15.75" customHeight="1" x14ac:dyDescent="0.3">
      <c r="A29" s="138"/>
      <c r="B29" s="199" t="s">
        <v>1</v>
      </c>
      <c r="C29" s="20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2867.8276924854467</v>
      </c>
      <c r="AC29" s="29">
        <f>AA29*(1+AC79)-AC82</f>
        <v>2864.0028809299311</v>
      </c>
      <c r="AD29" s="29">
        <f>AC29*(1+AD79)-AD82</f>
        <v>2862.9974369475908</v>
      </c>
      <c r="AE29" s="29">
        <f>AD29*(1+AE79)-AE82</f>
        <v>2861.5372180930599</v>
      </c>
      <c r="AF29" s="29">
        <f>AE29*(1+AF79)-AF82</f>
        <v>2859.9107556607837</v>
      </c>
      <c r="AG29" s="128">
        <f>(AC29*AC25/AG25)+(AD29*AD25/AG25)+(AE29*AE25/AG25)+(AF29*AF25/AG25)</f>
        <v>2861.8118221969876</v>
      </c>
    </row>
    <row r="30" spans="1:33" ht="15.75" customHeight="1" x14ac:dyDescent="0.3">
      <c r="A30" s="138"/>
      <c r="B30" s="205" t="s">
        <v>9</v>
      </c>
      <c r="C30" s="206"/>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1.4101445324254798</v>
      </c>
      <c r="Z30" s="43">
        <f t="shared" si="66"/>
        <v>1.7420343947850265</v>
      </c>
      <c r="AA30" s="43">
        <f t="shared" si="66"/>
        <v>2.5091864916552389</v>
      </c>
      <c r="AB30" s="132">
        <f t="shared" si="66"/>
        <v>7.3807620134130385</v>
      </c>
      <c r="AC30" s="43">
        <f t="shared" si="66"/>
        <v>1.9625473798068243</v>
      </c>
      <c r="AD30" s="43">
        <f t="shared" si="66"/>
        <v>2.2214070828734611</v>
      </c>
      <c r="AE30" s="43">
        <f t="shared" si="66"/>
        <v>2.5478203449042192</v>
      </c>
      <c r="AF30" s="43">
        <f t="shared" si="66"/>
        <v>3.2807729489316322</v>
      </c>
      <c r="AG30" s="132">
        <f t="shared" si="66"/>
        <v>10.012547432242432</v>
      </c>
    </row>
    <row r="31" spans="1:33" x14ac:dyDescent="0.3">
      <c r="A31" s="138"/>
      <c r="B31" s="203" t="s">
        <v>10</v>
      </c>
      <c r="C31" s="204"/>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1.4012958763494119</v>
      </c>
      <c r="Z31" s="137">
        <f t="shared" si="67"/>
        <v>1.7314021668118762</v>
      </c>
      <c r="AA31" s="137">
        <f t="shared" si="67"/>
        <v>2.4944106009405225</v>
      </c>
      <c r="AB31" s="158">
        <f t="shared" si="67"/>
        <v>7.3363132853957076</v>
      </c>
      <c r="AC31" s="137">
        <f t="shared" si="67"/>
        <v>1.9525355177927068</v>
      </c>
      <c r="AD31" s="137">
        <f t="shared" si="67"/>
        <v>2.2105372887376631</v>
      </c>
      <c r="AE31" s="137">
        <f t="shared" si="67"/>
        <v>2.5362386444251923</v>
      </c>
      <c r="AF31" s="137">
        <f t="shared" si="67"/>
        <v>3.2671439483668907</v>
      </c>
      <c r="AG31" s="158">
        <f t="shared" si="67"/>
        <v>9.9664524103224394</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91" t="s">
        <v>25</v>
      </c>
      <c r="C33" s="19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193"/>
      <c r="C34" s="194"/>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91" t="s">
        <v>146</v>
      </c>
      <c r="C35" s="19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8385.8365799999992</v>
      </c>
      <c r="Z36" s="64">
        <f>+((Z42+Y42)/2)*Z52</f>
        <v>9211.4840384673516</v>
      </c>
      <c r="AA36" s="64">
        <f>+((AA42+Z42)/2)*AA52</f>
        <v>11506.006237291856</v>
      </c>
      <c r="AB36" s="19"/>
      <c r="AC36" s="64">
        <f>+((AC42+AA42)/2)*AC52</f>
        <v>10073.917366954402</v>
      </c>
      <c r="AD36" s="64">
        <f>+((AD42+AC42)/2)*AD52</f>
        <v>10099.757940247959</v>
      </c>
      <c r="AE36" s="64">
        <f>+((AE42+AD42)/2)*AE52</f>
        <v>11610.634240983085</v>
      </c>
      <c r="AF36" s="64">
        <f>+((AF42+AE42)/2)*AF52</f>
        <v>14995.703345687805</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4244.7515249999997</v>
      </c>
      <c r="Z37" s="64">
        <f t="shared" ref="Z37:AA37" si="68">+((Z44+Y44)/2)*Z54</f>
        <v>4452.2483730964632</v>
      </c>
      <c r="AA37" s="64">
        <f t="shared" si="68"/>
        <v>5724.6767228345825</v>
      </c>
      <c r="AB37" s="19"/>
      <c r="AC37" s="64">
        <f>+((AC44+AA44)/2)*AC54</f>
        <v>5014.7228727394986</v>
      </c>
      <c r="AD37" s="64">
        <f>+((AD44+AC44)/2)*AD54</f>
        <v>5084.0690477735652</v>
      </c>
      <c r="AE37" s="64">
        <f t="shared" ref="AE37:AF37" si="69">+((AE44+AD44)/2)*AE54</f>
        <v>5592.9123131000069</v>
      </c>
      <c r="AF37" s="64">
        <f t="shared" si="69"/>
        <v>7437.8945730255982</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3234.1125120000002</v>
      </c>
      <c r="Z38" s="64">
        <f t="shared" ref="Z38:AA38" si="70">+((Z46+Y46)/2)*Z56</f>
        <v>3695.8303529544323</v>
      </c>
      <c r="AA38" s="64">
        <f t="shared" si="70"/>
        <v>4269.1462505550026</v>
      </c>
      <c r="AB38" s="19"/>
      <c r="AC38" s="64">
        <f>+((AC46+AA46)/2)*AC56</f>
        <v>4068.936757966771</v>
      </c>
      <c r="AD38" s="64">
        <f>+((AD46+AC46)/2)*AD56</f>
        <v>4114.0683629856985</v>
      </c>
      <c r="AE38" s="64">
        <f t="shared" ref="AE38:AF38" si="71">+((AE46+AD46)/2)*AE56</f>
        <v>4899.3170562027481</v>
      </c>
      <c r="AF38" s="64">
        <f t="shared" si="71"/>
        <v>5864.4752982108485</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1710.3486779999998</v>
      </c>
      <c r="Z39" s="99">
        <f t="shared" ref="Z39:AA39" si="72">+((Z48+Y48)/2)*Z58</f>
        <v>1956.3543581673259</v>
      </c>
      <c r="AA39" s="99">
        <f t="shared" si="72"/>
        <v>2256.5090427116656</v>
      </c>
      <c r="AB39" s="19"/>
      <c r="AC39" s="99">
        <f>+((AC48+AA48)/2)*AC58</f>
        <v>1987.3760166343595</v>
      </c>
      <c r="AD39" s="99">
        <f>+((AD48+AC48)/2)*AD58</f>
        <v>2092.9036845094811</v>
      </c>
      <c r="AE39" s="99">
        <f t="shared" ref="AE39:AF39" si="73">+((AE48+AD48)/2)*AE58</f>
        <v>2508.8054106003501</v>
      </c>
      <c r="AF39" s="99">
        <f t="shared" si="73"/>
        <v>2993.3624478243341</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17575.049294999997</v>
      </c>
      <c r="Z40" s="100">
        <f t="shared" ref="Z40:AA40" si="81">SUM(Z36:Z39)</f>
        <v>19315.917122685572</v>
      </c>
      <c r="AA40" s="100">
        <f t="shared" si="81"/>
        <v>23756.338253393107</v>
      </c>
      <c r="AB40" s="91"/>
      <c r="AC40" s="100">
        <f>SUM(AC36:AC39)</f>
        <v>21144.953014295032</v>
      </c>
      <c r="AD40" s="100">
        <f>SUM(AD36:AD39)</f>
        <v>21390.799035516702</v>
      </c>
      <c r="AE40" s="100">
        <f t="shared" ref="AE40:AF40" si="82">SUM(AE36:AE39)</f>
        <v>24611.669020886191</v>
      </c>
      <c r="AF40" s="100">
        <f t="shared" si="82"/>
        <v>31291.435664748584</v>
      </c>
      <c r="AG40" s="91"/>
    </row>
    <row r="41" spans="1:33" ht="17.399999999999999" x14ac:dyDescent="0.45">
      <c r="A41" s="138"/>
      <c r="B41" s="208" t="s">
        <v>86</v>
      </c>
      <c r="C41" s="20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256.2</v>
      </c>
      <c r="Z42" s="29">
        <f t="shared" ref="Z42" si="84">U42*(1+Z43)</f>
        <v>252.96547044519266</v>
      </c>
      <c r="AA42" s="29">
        <f t="shared" ref="AA42" si="85">V42*(1+AA43)</f>
        <v>254.20603594871272</v>
      </c>
      <c r="AB42" s="19"/>
      <c r="AC42" s="29">
        <f>X42*(1+AC43)</f>
        <v>255.53</v>
      </c>
      <c r="AD42" s="29">
        <f t="shared" ref="AD42" si="86">Y42*(1+AD43)</f>
        <v>263.19272540748392</v>
      </c>
      <c r="AE42" s="29">
        <f t="shared" ref="AE42" si="87">Z42*(1+AE43)</f>
        <v>258.43395472074707</v>
      </c>
      <c r="AF42" s="29">
        <f t="shared" ref="AF42" si="88">AA42*(1+AF43)</f>
        <v>259.54028659896903</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0.05</v>
      </c>
      <c r="Z43" s="59">
        <f>AVERAGE(U43,V43,X43,Y43)-1%</f>
        <v>2.4151702207257757E-2</v>
      </c>
      <c r="AA43" s="59">
        <f>AVERAGE(V43,X43,Y43,Z43)-1%</f>
        <v>2.502433850287384E-2</v>
      </c>
      <c r="AB43" s="19"/>
      <c r="AC43" s="59">
        <v>0.01</v>
      </c>
      <c r="AD43" s="59">
        <f>AVERAGE(Y43,Z43,AA43,AC43)</f>
        <v>2.7294010177532895E-2</v>
      </c>
      <c r="AE43" s="59">
        <f>AVERAGE(Z43,AA43,AC43,AD43)</f>
        <v>2.1617512721916123E-2</v>
      </c>
      <c r="AF43" s="59">
        <f>AVERAGE(AA43,AC43,AD43,AE43)</f>
        <v>2.0983965350580717E-2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401.84264985236217</v>
      </c>
      <c r="AA44" s="29">
        <f t="shared" ref="AA44" si="91">V44*(1+AA45)</f>
        <v>409.73690194389769</v>
      </c>
      <c r="AB44" s="19"/>
      <c r="AC44" s="29">
        <f>X44*(1+AC45)</f>
        <v>414.12</v>
      </c>
      <c r="AD44" s="29">
        <f t="shared" ref="AD44" si="92">Y44*(1+AD45)</f>
        <v>429.28222733529168</v>
      </c>
      <c r="AE44" s="29">
        <f t="shared" ref="AE44" si="93">Z44*(1+AE45)</f>
        <v>415.94412165040677</v>
      </c>
      <c r="AF44" s="29">
        <f t="shared" ref="AF44" si="94">AA44*(1+AF45)</f>
        <v>423.78135315964272</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f>AVERAGE(U45,V45,X45,Y45)-1%</f>
        <v>3.8353100393700816E-2</v>
      </c>
      <c r="AA45" s="59">
        <f>AVERAGE(V45,X45,Y45,Z45)-1%</f>
        <v>3.9941375492126015E-2</v>
      </c>
      <c r="AB45" s="19"/>
      <c r="AC45" s="59">
        <v>0.02</v>
      </c>
      <c r="AD45" s="59">
        <f>AVERAGE(Y45,Z45,AA45,AC45)</f>
        <v>4.2073618971456707E-2</v>
      </c>
      <c r="AE45" s="59">
        <f>AVERAGE(Z45,AA45,AC45,AD45)</f>
        <v>3.5092023714320887E-2</v>
      </c>
      <c r="AF45" s="59">
        <f>AVERAGE(AA45,AC45,AD45,AE45)</f>
        <v>3.4276754544475901E-2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1123.3600000000001</v>
      </c>
      <c r="Z46" s="29">
        <f t="shared" ref="Z46" si="96">U46*(1+Z47)</f>
        <v>1113.1283972548288</v>
      </c>
      <c r="AA46" s="29">
        <f t="shared" ref="AA46" si="97">V46*(1+AA47)</f>
        <v>1139.5214582154094</v>
      </c>
      <c r="AB46" s="22"/>
      <c r="AC46" s="29">
        <f>X46*(1+AC47)</f>
        <v>1202.3000000000002</v>
      </c>
      <c r="AD46" s="29">
        <f t="shared" ref="AD46" si="98">Y46*(1+AD47)</f>
        <v>1240.2527476373359</v>
      </c>
      <c r="AE46" s="29">
        <f t="shared" ref="AE46" si="99">Z46*(1+AE47)</f>
        <v>1224.519650766722</v>
      </c>
      <c r="AF46" s="29">
        <f t="shared" ref="AF46" si="100">AA46*(1+AF47)</f>
        <v>1253.903428661645</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0.12</v>
      </c>
      <c r="Z47" s="59">
        <f>AVERAGE(U47,V47,X47,Y47)-1%</f>
        <v>9.8843432630630765E-2</v>
      </c>
      <c r="AA47" s="59">
        <f>AVERAGE(V47,X47,Y47,Z47)-1%</f>
        <v>9.7381989806827177E-2</v>
      </c>
      <c r="AB47" s="19"/>
      <c r="AC47" s="59">
        <v>0.1</v>
      </c>
      <c r="AD47" s="59">
        <f>AVERAGE(Y47,Z47,AA47,AC47)</f>
        <v>0.10405635560936449</v>
      </c>
      <c r="AE47" s="59">
        <f>AVERAGE(Z47,AA47,AC47,AD47)</f>
        <v>0.10007044451170562</v>
      </c>
      <c r="AF47" s="59">
        <f>AVERAGE(AA47,AC47,AD47,AE47)</f>
        <v>0.10037719748197432</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875.84</v>
      </c>
      <c r="Z48" s="29">
        <f t="shared" ref="Z48" si="102">U48*(1+Z49)</f>
        <v>875.70650602355067</v>
      </c>
      <c r="AA48" s="29">
        <f t="shared" ref="AA48" si="103">V48*(1+AA49)</f>
        <v>892.97740835031709</v>
      </c>
      <c r="AB48" s="19"/>
      <c r="AC48" s="29">
        <f>X48*(1+AC49)</f>
        <v>919.08</v>
      </c>
      <c r="AD48" s="29">
        <f t="shared" ref="AD48" si="104">Y48*(1+AD49)</f>
        <v>960.00036628125008</v>
      </c>
      <c r="AE48" s="29">
        <f t="shared" ref="AE48" si="105">Z48*(1+AE49)</f>
        <v>954.61973422756</v>
      </c>
      <c r="AF48" s="29">
        <f t="shared" ref="AF48" si="106">AA48*(1+AF49)</f>
        <v>973.04746738458346</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0.12</v>
      </c>
      <c r="Z49" s="59">
        <f>AVERAGE(U49,V49,X49,Y49)-1%</f>
        <v>9.1903374094202891E-2</v>
      </c>
      <c r="AA49" s="59">
        <f>AVERAGE(V49,X49,Y49,Z49)-1%</f>
        <v>9.246073935688405E-2</v>
      </c>
      <c r="AB49" s="19"/>
      <c r="AC49" s="59">
        <v>0.08</v>
      </c>
      <c r="AD49" s="59">
        <f>AVERAGE(Y49,Z49,AA49,AC49)</f>
        <v>9.6091028362771738E-2</v>
      </c>
      <c r="AE49" s="59">
        <f>AVERAGE(Z49,AA49,AC49,AD49)</f>
        <v>9.011378545346467E-2</v>
      </c>
      <c r="AF49" s="59">
        <f>AVERAGE(AA49,AC49,AD49,AE49)</f>
        <v>8.9666388293280108E-2</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2667.3500000000004</v>
      </c>
      <c r="Z50" s="40">
        <f t="shared" si="111"/>
        <v>2643.6430235759344</v>
      </c>
      <c r="AA50" s="40">
        <f t="shared" si="111"/>
        <v>2696.4418044583372</v>
      </c>
      <c r="AB50" s="95"/>
      <c r="AC50" s="40">
        <f>+AC42+AC44+AC46+AC48</f>
        <v>2791.03</v>
      </c>
      <c r="AD50" s="40">
        <f t="shared" ref="AD50:AF50" si="112">+AD42+AD44+AD46+AD48</f>
        <v>2892.7280666613615</v>
      </c>
      <c r="AE50" s="40">
        <f t="shared" si="112"/>
        <v>2853.5174613654358</v>
      </c>
      <c r="AF50" s="40">
        <f t="shared" si="112"/>
        <v>2910.2725358048401</v>
      </c>
      <c r="AG50" s="95"/>
    </row>
    <row r="51" spans="1:33" ht="17.399999999999999" x14ac:dyDescent="0.45">
      <c r="A51" s="138"/>
      <c r="B51" s="191" t="s">
        <v>87</v>
      </c>
      <c r="C51" s="19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32.9373</v>
      </c>
      <c r="Z52" s="45">
        <f t="shared" ref="Z52" si="114">U52*(1+Z53)</f>
        <v>36.182673701000269</v>
      </c>
      <c r="AA52" s="45">
        <f t="shared" ref="AA52" si="115">V52*(1+AA53)</f>
        <v>45.373236044358833</v>
      </c>
      <c r="AB52" s="19"/>
      <c r="AC52" s="45">
        <f>X52*(1+AC53)</f>
        <v>39.526016041636076</v>
      </c>
      <c r="AD52" s="45">
        <f t="shared" ref="AD52" si="116">Y52*(1+AD53)</f>
        <v>38.940873208568483</v>
      </c>
      <c r="AE52" s="45">
        <f t="shared" ref="AE52" si="117">Z52*(1+AE53)</f>
        <v>44.517026000774557</v>
      </c>
      <c r="AF52" s="45">
        <f t="shared" ref="AF52" si="118">AA52*(1+AF53)</f>
        <v>57.901347787029458</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-0.01</v>
      </c>
      <c r="Z53" s="59">
        <f>AVERAGE(U53,V53,X53,Y53)-9.37563094647488%</f>
        <v>4.7255389319834279E-2</v>
      </c>
      <c r="AA53" s="59">
        <f>AVERAGE(V53,X53,Y53,Z53)+0.572122632217421%</f>
        <v>9.5707221549356222E-2</v>
      </c>
      <c r="AB53" s="19"/>
      <c r="AC53" s="59">
        <f>AVERAGE(X53,Y53,Z53,AA53)+8.94685331393137%</f>
        <v>0.15640772503323813</v>
      </c>
      <c r="AD53" s="59">
        <f>AVERAGE(Y53,Z53,AA53,AC53)+10.9930195170482%</f>
        <v>0.18227277914608916</v>
      </c>
      <c r="AE53" s="59">
        <f>AVERAGE(Z53,AA53,AC53,AD53)+10.9930195170482%</f>
        <v>0.23034097393261144</v>
      </c>
      <c r="AF53" s="59">
        <f>AVERAGE(AA53,AC53,AD53,AE53)+10.9930195170482%</f>
        <v>0.27611237008580575</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10.379</v>
      </c>
      <c r="Z54" s="45">
        <f t="shared" ref="Z54" si="125">U54*(1+Z55)</f>
        <v>10.941972439550018</v>
      </c>
      <c r="AA54" s="45">
        <f t="shared" ref="AA54" si="126">V54*(1+AA55)</f>
        <v>14.107493739003699</v>
      </c>
      <c r="AB54" s="19"/>
      <c r="AC54" s="45">
        <f>X54*(1+AC55)</f>
        <v>12.173771588020239</v>
      </c>
      <c r="AD54" s="45">
        <f t="shared" ref="AD54" si="127">Y54*(1+AD55)</f>
        <v>12.05609585318871</v>
      </c>
      <c r="AE54" s="45">
        <f t="shared" ref="AE54" si="128">Z54*(1+AE55)</f>
        <v>13.234117274767167</v>
      </c>
      <c r="AF54" s="45">
        <f t="shared" ref="AF54" si="129">AA54*(1+AF55)</f>
        <v>17.715062353462816</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-0.03</v>
      </c>
      <c r="Z55" s="59">
        <f>AVERAGE(U55,V55,X55,Y55)-10%</f>
        <v>2.4529254639514914E-2</v>
      </c>
      <c r="AA55" s="59">
        <f>AVERAGE(V55,X55,Y55,Z55)-1%</f>
        <v>6.7940479864019507E-2</v>
      </c>
      <c r="AB55" s="19"/>
      <c r="AC55" s="59">
        <f>AVERAGE(X55,Y55,Z55,AA55)+10%</f>
        <v>0.14415146503949616</v>
      </c>
      <c r="AD55" s="59">
        <f>AVERAGE(Y55,Z55,AA55,AC55)+10.9930195170482%</f>
        <v>0.16158549505623965</v>
      </c>
      <c r="AE55" s="59">
        <f>AVERAGE(Z55,AA55,AC55,AD55)+10.9930195170482%</f>
        <v>0.20948186882029957</v>
      </c>
      <c r="AF55" s="59">
        <f>AVERAGE(AA55,AC55,AD55,AE55)+10.9930195170482%</f>
        <v>0.25572002236549574</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2.9184000000000001</v>
      </c>
      <c r="Z56" s="45">
        <f t="shared" ref="Z56" si="138">U56*(1+Z57)</f>
        <v>3.3050297578032319</v>
      </c>
      <c r="AA56" s="45">
        <f t="shared" ref="AA56" si="139">V56*(1+AA57)</f>
        <v>3.7903327409610421</v>
      </c>
      <c r="AB56" s="19"/>
      <c r="AC56" s="45">
        <f>X56*(1+AC57)</f>
        <v>3.4750187668598045</v>
      </c>
      <c r="AD56" s="45">
        <f t="shared" ref="AD56" si="140">Y56*(1+AD57)</f>
        <v>3.3686628605791271</v>
      </c>
      <c r="AE56" s="45">
        <f t="shared" ref="AE56" si="141">Z56*(1+AE57)</f>
        <v>3.9754721850788823</v>
      </c>
      <c r="AF56" s="45">
        <f t="shared" ref="AF56" si="142">AA56*(1+AF57)</f>
        <v>4.7324246993079599</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-0.04</v>
      </c>
      <c r="Z57" s="59">
        <f>AVERAGE(U57,V57,X57,Y57)-10%</f>
        <v>2.007091290223216E-2</v>
      </c>
      <c r="AA57" s="59">
        <f>AVERAGE(V57,X57,Y57,Z57)-1%</f>
        <v>6.1717854610936256E-2</v>
      </c>
      <c r="AB57" s="19"/>
      <c r="AC57" s="59">
        <f>AVERAGE(X57,Y57,Z57,AA57)+10%</f>
        <v>0.13562704799340003</v>
      </c>
      <c r="AD57" s="59">
        <f>AVERAGE(Y57,Z57,AA57,AC57)+10.9930195170482%</f>
        <v>0.15428414904712412</v>
      </c>
      <c r="AE57" s="59">
        <f>AVERAGE(Z57,AA57,AC57,AD57)+10.9930195170482%</f>
        <v>0.20285518630890514</v>
      </c>
      <c r="AF57" s="59">
        <f>AVERAGE(AA57,AC57,AD57,AE57)+10.9930195170482%</f>
        <v>0.2485512546605734</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1.9808999999999997</v>
      </c>
      <c r="Z58" s="45">
        <f t="shared" ref="Z58" si="151">U58*(1+Z59)</f>
        <v>2.2338594509931005</v>
      </c>
      <c r="AA58" s="45">
        <f t="shared" ref="AA58" si="152">V58*(1+AA59)</f>
        <v>2.5516249957081709</v>
      </c>
      <c r="AB58" s="19"/>
      <c r="AC58" s="45">
        <f>X58*(1+AC59)</f>
        <v>2.1935022670652042</v>
      </c>
      <c r="AD58" s="45">
        <f t="shared" ref="AD58" si="153">Y58*(1+AD59)</f>
        <v>2.2275829411717956</v>
      </c>
      <c r="AE58" s="45">
        <f t="shared" ref="AE58" si="154">Z58*(1+AE59)</f>
        <v>2.6206822021074943</v>
      </c>
      <c r="AF58" s="45">
        <f t="shared" ref="AF58" si="155">AA58*(1+AF59)</f>
        <v>3.1056838497028227</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-7.0000000000000007E-2</v>
      </c>
      <c r="Z59" s="59">
        <f>AVERAGE(U59,V59,X59,Y59)-10%</f>
        <v>-2.7413165209373008E-3</v>
      </c>
      <c r="AA59" s="59">
        <f>AVERAGE(V59,X59,Y59,Z59)-1%</f>
        <v>2.8881046656520672E-2</v>
      </c>
      <c r="AB59" s="19"/>
      <c r="AC59" s="59">
        <f>AVERAGE(X59,Y59,Z59,AA59)+10%</f>
        <v>0.1022624457614091</v>
      </c>
      <c r="AD59" s="59">
        <f>AVERAGE(Y59,Z59,AA59,AC59)+10.9930195170482%</f>
        <v>0.12453073914473012</v>
      </c>
      <c r="AE59" s="59">
        <f>AVERAGE(Z59,AA59,AC59,AD59)+10.9930195170482%</f>
        <v>0.17316342393091264</v>
      </c>
      <c r="AF59" s="59">
        <f>AVERAGE(AA59,AC59,AD59,AE59)+10.9930195170482%</f>
        <v>0.21713960904387514</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6.669404990180916</v>
      </c>
      <c r="Z60" s="43">
        <f t="shared" ref="Z60:AA60" si="167">+Z40/((Y50+Z50)/2)</f>
        <v>7.27393805148703</v>
      </c>
      <c r="AA60" s="43">
        <f t="shared" si="167"/>
        <v>8.8973636256403843</v>
      </c>
      <c r="AB60" s="19"/>
      <c r="AC60" s="43">
        <f>+AC40/((AA50+AC50)/2)</f>
        <v>7.7066283956541364</v>
      </c>
      <c r="AD60" s="43">
        <f>+AD40/((AC50+AD50)/2)</f>
        <v>7.5269913971133029</v>
      </c>
      <c r="AE60" s="43">
        <f t="shared" ref="AE60:AF60" si="168">+AE40/((AD50+AE50)/2)</f>
        <v>8.5661738263166747</v>
      </c>
      <c r="AF60" s="43">
        <f t="shared" si="168"/>
        <v>10.857937461327033</v>
      </c>
      <c r="AG60" s="19"/>
    </row>
    <row r="61" spans="1:33" ht="17.399999999999999" x14ac:dyDescent="0.45">
      <c r="A61" s="138"/>
      <c r="B61" s="191" t="s">
        <v>26</v>
      </c>
      <c r="C61" s="19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91" t="s">
        <v>16</v>
      </c>
      <c r="C63" s="19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9" t="s">
        <v>101</v>
      </c>
      <c r="C64" s="200"/>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4.080595137984111E-2</v>
      </c>
      <c r="Z64" s="55">
        <f t="shared" si="175"/>
        <v>9.4262243523995703E-2</v>
      </c>
      <c r="AA64" s="55">
        <f t="shared" si="175"/>
        <v>0.12685410555891785</v>
      </c>
      <c r="AB64" s="53">
        <f t="shared" si="175"/>
        <v>0.10873593888112199</v>
      </c>
      <c r="AC64" s="55">
        <f t="shared" si="175"/>
        <v>0.19213807376078429</v>
      </c>
      <c r="AD64" s="55">
        <f t="shared" si="175"/>
        <v>0.2171117518061394</v>
      </c>
      <c r="AE64" s="55">
        <f t="shared" si="175"/>
        <v>0.27416518017573321</v>
      </c>
      <c r="AF64" s="55">
        <f t="shared" si="175"/>
        <v>0.31718261168802986</v>
      </c>
      <c r="AG64" s="53">
        <f t="shared" si="175"/>
        <v>0.25584907780354804</v>
      </c>
    </row>
    <row r="65" spans="1:33" s="42" customFormat="1" outlineLevel="1" x14ac:dyDescent="0.3">
      <c r="A65" s="145"/>
      <c r="B65" s="199" t="s">
        <v>102</v>
      </c>
      <c r="C65" s="200"/>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-9.1306706320123387E-3</v>
      </c>
      <c r="Z65" s="55">
        <f t="shared" si="179"/>
        <v>9.9053368128011021E-2</v>
      </c>
      <c r="AA65" s="55">
        <f t="shared" si="179"/>
        <v>0.22988404342926505</v>
      </c>
      <c r="AB65" s="53"/>
      <c r="AC65" s="55">
        <f>+AC13/AA13-1</f>
        <v>-0.10992372693317298</v>
      </c>
      <c r="AD65" s="55">
        <f t="shared" ref="AD65:AF65" si="180">+AD13/AC13-1</f>
        <v>1.1626699811319918E-2</v>
      </c>
      <c r="AE65" s="55">
        <f t="shared" si="180"/>
        <v>0.15057268220890885</v>
      </c>
      <c r="AF65" s="55">
        <f t="shared" si="180"/>
        <v>0.27140648763778463</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17850.049294999997</v>
      </c>
      <c r="Z66" s="29">
        <f>+Z84+Z13</f>
        <v>19465.917122685572</v>
      </c>
      <c r="AA66" s="29">
        <f>+AA84+AA13</f>
        <v>23856.338253393107</v>
      </c>
      <c r="AB66" s="30">
        <f>SUM(X66:AA66)</f>
        <v>79184.304671078688</v>
      </c>
      <c r="AC66" s="29">
        <f>+AC84+AC13</f>
        <v>21194.953014295032</v>
      </c>
      <c r="AD66" s="29">
        <f>+AD84+AD13</f>
        <v>21440.799035516702</v>
      </c>
      <c r="AE66" s="29">
        <f>+AE84+AE13</f>
        <v>24661.669020886191</v>
      </c>
      <c r="AF66" s="29">
        <f>+AF84+AF13</f>
        <v>31341.435664748584</v>
      </c>
      <c r="AG66" s="30">
        <f>SUM(AC66:AF66)</f>
        <v>98638.856735446505</v>
      </c>
    </row>
    <row r="67" spans="1:33" s="42" customFormat="1" outlineLevel="1" x14ac:dyDescent="0.3">
      <c r="A67" s="145"/>
      <c r="B67" s="199" t="s">
        <v>103</v>
      </c>
      <c r="C67" s="20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5.70916318251804E-2</v>
      </c>
      <c r="Z67" s="55">
        <f t="shared" ref="Z67" si="183">+Z66/U13-1</f>
        <v>0.10275986419020922</v>
      </c>
      <c r="AA67" s="55">
        <f t="shared" ref="AA67" si="184">+AA66/V13-1</f>
        <v>0.1315974885396598</v>
      </c>
      <c r="AB67" s="147">
        <f>+AB66/W13-1</f>
        <v>0.12005183630251204</v>
      </c>
      <c r="AC67" s="55">
        <f>+AC66/X13-1</f>
        <v>0.19495703976405432</v>
      </c>
      <c r="AD67" s="55">
        <f t="shared" ref="AD67" si="185">+AD66/Y13-1</f>
        <v>0.21995669403991314</v>
      </c>
      <c r="AE67" s="55">
        <f t="shared" ref="AE67" si="186">+AE66/Z13-1</f>
        <v>0.27675371892760414</v>
      </c>
      <c r="AF67" s="55">
        <f t="shared" ref="AF67" si="187">+AF66/AA13-1</f>
        <v>0.31928731315618908</v>
      </c>
      <c r="AG67" s="147">
        <f>+AG66/AB13-1</f>
        <v>0.25840060901683426</v>
      </c>
    </row>
    <row r="68" spans="1:33" s="42" customFormat="1" outlineLevel="1" x14ac:dyDescent="0.3">
      <c r="A68" s="145"/>
      <c r="B68" s="199" t="s">
        <v>104</v>
      </c>
      <c r="C68" s="20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0.81</v>
      </c>
      <c r="Z69" s="60">
        <v>0.79500000000000004</v>
      </c>
      <c r="AA69" s="60">
        <v>0.81</v>
      </c>
      <c r="AB69" s="54">
        <f>+AB15/AB13</f>
        <v>0.80516856393088587</v>
      </c>
      <c r="AC69" s="60">
        <v>0.80500000000000005</v>
      </c>
      <c r="AD69" s="60">
        <v>0.81499999999999995</v>
      </c>
      <c r="AE69" s="60">
        <v>0.81499999999999995</v>
      </c>
      <c r="AF69" s="60">
        <v>0.81499999999999995</v>
      </c>
      <c r="AG69" s="54">
        <f>+AG15/AG13</f>
        <v>0.81285197088674832</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0.18</v>
      </c>
      <c r="Z71" s="60">
        <v>0.16500000000000001</v>
      </c>
      <c r="AA71" s="60">
        <v>0.15</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0.12</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53259.332612411978</v>
      </c>
      <c r="AC73" s="51"/>
      <c r="AD73" s="51"/>
      <c r="AE73" s="51"/>
      <c r="AF73" s="51"/>
      <c r="AG73" s="30">
        <f>AG14+AG17+AG18+AG19</f>
        <v>64129.967147932017</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-0.72533694450236563</v>
      </c>
      <c r="Z74" s="55">
        <f>+(Z14+Z17+Z18+Z19)/(X14+X17+X18+X19)-1</f>
        <v>0.13181750110974222</v>
      </c>
      <c r="AA74" s="55">
        <f>+(AA14+AA17+AA18+AA19)/(Y14+Y17+Y18+Y19)-1</f>
        <v>0.18320758906284107</v>
      </c>
      <c r="AB74" s="53">
        <f>+(AB14+AB17+AB18+AB19)/(W14+W17+W18+W19)-1</f>
        <v>0.14018823430052829</v>
      </c>
      <c r="AC74" s="55">
        <f>+(AC14+AC17+AC18+AC19)/(AA14+AA17+AA18+AA19)-1</f>
        <v>-4.7242299252410525E-2</v>
      </c>
      <c r="AD74" s="55">
        <f>+(AD14+AD17+AD18+AD19)/(AB14+AB17+AB18+AB19)-1</f>
        <v>-0.74094558265844856</v>
      </c>
      <c r="AE74" s="55">
        <f>+(AE14+AE17+AE18+AE19)/(AC14+AC17+AC18+AC19)-1</f>
        <v>9.7584472632246566E-2</v>
      </c>
      <c r="AF74" s="55">
        <f>+(AF14+AF17+AF18+AF19)/(AD14+AD17+AD18+AD19)-1</f>
        <v>0.44923770686703501</v>
      </c>
      <c r="AG74" s="53">
        <f>+(AG14+AG17+AG18+AG19)/(AB14+AB17+AB18+AB19)-1</f>
        <v>0.2041075995944166</v>
      </c>
    </row>
    <row r="75" spans="1:33" s="42" customFormat="1" outlineLevel="1" x14ac:dyDescent="0.3">
      <c r="A75" s="145"/>
      <c r="B75" s="199" t="s">
        <v>4</v>
      </c>
      <c r="C75" s="200"/>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0.27000000000000013</v>
      </c>
      <c r="Z75" s="51">
        <f t="shared" si="207"/>
        <v>0.30600000000000005</v>
      </c>
      <c r="AA75" s="51">
        <f t="shared" si="207"/>
        <v>0.36099999999999993</v>
      </c>
      <c r="AB75" s="54">
        <f t="shared" si="207"/>
        <v>0.32053575220317054</v>
      </c>
      <c r="AC75" s="51">
        <f t="shared" si="207"/>
        <v>0.316</v>
      </c>
      <c r="AD75" s="51">
        <f t="shared" si="207"/>
        <v>0.35499999999999998</v>
      </c>
      <c r="AE75" s="51">
        <f t="shared" si="207"/>
        <v>0.35499999999999993</v>
      </c>
      <c r="AF75" s="51">
        <f t="shared" si="207"/>
        <v>0.36099999999999988</v>
      </c>
      <c r="AG75" s="54">
        <f t="shared" si="207"/>
        <v>0.34852994767827611</v>
      </c>
    </row>
    <row r="76" spans="1:33" s="42" customFormat="1" outlineLevel="1" x14ac:dyDescent="0.3">
      <c r="A76" s="145"/>
      <c r="B76" s="199" t="s">
        <v>2</v>
      </c>
      <c r="C76" s="200"/>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0.17624206352491376</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0.18072346325798369</v>
      </c>
    </row>
    <row r="77" spans="1:33" ht="17.399999999999999" x14ac:dyDescent="0.45">
      <c r="A77" s="138"/>
      <c r="B77" s="191" t="s">
        <v>18</v>
      </c>
      <c r="C77" s="19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9" t="s">
        <v>12</v>
      </c>
      <c r="C78" s="20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9" t="s">
        <v>13</v>
      </c>
      <c r="C79" s="20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9" t="s">
        <v>5</v>
      </c>
      <c r="C80" s="20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38"/>
      <c r="B81" s="199" t="s">
        <v>6</v>
      </c>
      <c r="C81" s="20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7" t="s">
        <v>17</v>
      </c>
      <c r="C82" s="198"/>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38"/>
      <c r="B83" s="191" t="s">
        <v>24</v>
      </c>
      <c r="C83" s="19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9" t="s">
        <v>95</v>
      </c>
      <c r="C84" s="200"/>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91" t="s">
        <v>96</v>
      </c>
      <c r="C85" s="19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2020-07-25T21:28:47Z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