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autoCompressPictures="0"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400CB95B-28D3-4756-901A-B6ED5BD4CA31}"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F80" i="3" l="1"/>
  <c r="AE80" i="3"/>
  <c r="AD80" i="3"/>
  <c r="AC80" i="3"/>
  <c r="AA80" i="3"/>
  <c r="Z80" i="3"/>
  <c r="Z43" i="3"/>
  <c r="D15" i="3"/>
  <c r="D21" i="3" s="1"/>
  <c r="D23" i="3" s="1"/>
  <c r="D25" i="3" s="1"/>
  <c r="D31" i="3" s="1"/>
  <c r="D20" i="3"/>
  <c r="E15" i="3"/>
  <c r="E21" i="3" s="1"/>
  <c r="E23" i="3" s="1"/>
  <c r="E25" i="3" s="1"/>
  <c r="E20" i="3"/>
  <c r="F15" i="3"/>
  <c r="F20" i="3"/>
  <c r="F21" i="3"/>
  <c r="F23" i="3" s="1"/>
  <c r="F25" i="3" s="1"/>
  <c r="G15" i="3"/>
  <c r="G17" i="3"/>
  <c r="G20" i="3" s="1"/>
  <c r="G21" i="3" s="1"/>
  <c r="G23" i="3" s="1"/>
  <c r="G25" i="3" s="1"/>
  <c r="G27" i="3" s="1"/>
  <c r="G18" i="3"/>
  <c r="G19" i="3"/>
  <c r="G24" i="3"/>
  <c r="I15" i="3"/>
  <c r="I21" i="3" s="1"/>
  <c r="I20" i="3"/>
  <c r="J15" i="3"/>
  <c r="J21" i="3" s="1"/>
  <c r="J23" i="3" s="1"/>
  <c r="J25" i="3" s="1"/>
  <c r="J20" i="3"/>
  <c r="K15" i="3"/>
  <c r="K20" i="3"/>
  <c r="K21" i="3"/>
  <c r="K23" i="3" s="1"/>
  <c r="K25" i="3" s="1"/>
  <c r="L15" i="3"/>
  <c r="L20" i="3"/>
  <c r="L21" i="3" s="1"/>
  <c r="L23" i="3" s="1"/>
  <c r="L25" i="3" s="1"/>
  <c r="L30" i="3" s="1"/>
  <c r="N15" i="3"/>
  <c r="N21" i="3" s="1"/>
  <c r="N23" i="3" s="1"/>
  <c r="N25" i="3" s="1"/>
  <c r="N20" i="3"/>
  <c r="O15" i="3"/>
  <c r="O21" i="3" s="1"/>
  <c r="O23" i="3" s="1"/>
  <c r="O25" i="3" s="1"/>
  <c r="O20" i="3"/>
  <c r="P15" i="3"/>
  <c r="P20" i="3"/>
  <c r="P21" i="3"/>
  <c r="P23" i="3" s="1"/>
  <c r="P25" i="3" s="1"/>
  <c r="Q15" i="3"/>
  <c r="Q20" i="3"/>
  <c r="Q21" i="3" s="1"/>
  <c r="Q23" i="3" s="1"/>
  <c r="Q25" i="3" s="1"/>
  <c r="S15" i="3"/>
  <c r="S21" i="3" s="1"/>
  <c r="S23" i="3" s="1"/>
  <c r="S25" i="3" s="1"/>
  <c r="S20" i="3"/>
  <c r="T15" i="3"/>
  <c r="T21" i="3" s="1"/>
  <c r="T23" i="3" s="1"/>
  <c r="T25" i="3" s="1"/>
  <c r="T31" i="3" s="1"/>
  <c r="T20" i="3"/>
  <c r="U15" i="3"/>
  <c r="U20" i="3"/>
  <c r="U21" i="3"/>
  <c r="U23" i="3" s="1"/>
  <c r="V13" i="3"/>
  <c r="V14" i="3"/>
  <c r="V15" i="3" s="1"/>
  <c r="V21" i="3" s="1"/>
  <c r="V23" i="3" s="1"/>
  <c r="V25" i="3" s="1"/>
  <c r="V17" i="3"/>
  <c r="V18" i="3"/>
  <c r="V19" i="3"/>
  <c r="V20" i="3" s="1"/>
  <c r="V22" i="3"/>
  <c r="V24" i="3"/>
  <c r="X15" i="3"/>
  <c r="X20" i="3"/>
  <c r="X21" i="3" s="1"/>
  <c r="X23" i="3" s="1"/>
  <c r="T81" i="3"/>
  <c r="U81" i="3"/>
  <c r="V81" i="3"/>
  <c r="X81" i="3"/>
  <c r="T43" i="3"/>
  <c r="U43" i="3"/>
  <c r="V43" i="3"/>
  <c r="X43" i="3"/>
  <c r="Y42" i="3"/>
  <c r="Y36" i="3" s="1"/>
  <c r="Y40" i="3" s="1"/>
  <c r="Y13" i="3" s="1"/>
  <c r="T53" i="3"/>
  <c r="U53" i="3"/>
  <c r="V53" i="3"/>
  <c r="X53" i="3"/>
  <c r="AA53" i="3" s="1"/>
  <c r="Y52" i="3"/>
  <c r="T45" i="3"/>
  <c r="U45" i="3"/>
  <c r="V45" i="3"/>
  <c r="X45" i="3"/>
  <c r="Y44" i="3"/>
  <c r="T55" i="3"/>
  <c r="U55" i="3"/>
  <c r="V55" i="3"/>
  <c r="X55" i="3"/>
  <c r="Y54" i="3"/>
  <c r="Y37" i="3" s="1"/>
  <c r="T47" i="3"/>
  <c r="U47" i="3"/>
  <c r="V47" i="3"/>
  <c r="X47" i="3"/>
  <c r="Y46" i="3"/>
  <c r="T57" i="3"/>
  <c r="U57" i="3"/>
  <c r="V57" i="3"/>
  <c r="X57" i="3"/>
  <c r="Y56" i="3"/>
  <c r="Y38" i="3"/>
  <c r="T49" i="3"/>
  <c r="U49" i="3"/>
  <c r="Z49" i="3" s="1"/>
  <c r="V49" i="3"/>
  <c r="X49" i="3"/>
  <c r="AC49" i="3" s="1"/>
  <c r="Y48" i="3"/>
  <c r="Y39" i="3" s="1"/>
  <c r="T59" i="3"/>
  <c r="U59" i="3"/>
  <c r="V59" i="3"/>
  <c r="Z59" i="3" s="1"/>
  <c r="X59" i="3"/>
  <c r="Y58" i="3"/>
  <c r="Y22" i="3"/>
  <c r="Z81" i="3"/>
  <c r="Z42" i="3"/>
  <c r="Z52" i="3"/>
  <c r="Z36" i="3"/>
  <c r="Z44" i="3"/>
  <c r="Z37" i="3" s="1"/>
  <c r="Z54" i="3"/>
  <c r="Z46" i="3"/>
  <c r="Z38" i="3" s="1"/>
  <c r="Z56" i="3"/>
  <c r="Z22" i="3"/>
  <c r="AA22" i="3" s="1"/>
  <c r="AA81" i="3"/>
  <c r="AC81" i="3" s="1"/>
  <c r="AA42" i="3"/>
  <c r="AA44" i="3"/>
  <c r="AA55" i="3"/>
  <c r="AA54" i="3"/>
  <c r="AA37" i="3" s="1"/>
  <c r="AA46" i="3"/>
  <c r="AA56" i="3"/>
  <c r="AA38" i="3"/>
  <c r="AA48" i="3"/>
  <c r="AC42" i="3"/>
  <c r="AC45" i="3"/>
  <c r="AC44" i="3"/>
  <c r="AC37" i="3" s="1"/>
  <c r="AC55" i="3"/>
  <c r="AC54" i="3" s="1"/>
  <c r="AC47" i="3"/>
  <c r="AC46" i="3" s="1"/>
  <c r="AC57" i="3"/>
  <c r="AC56" i="3" s="1"/>
  <c r="AD45" i="3"/>
  <c r="AD44" i="3" s="1"/>
  <c r="AD37" i="3" s="1"/>
  <c r="AD55" i="3"/>
  <c r="AD54" i="3" s="1"/>
  <c r="AD57" i="3"/>
  <c r="AD56" i="3" s="1"/>
  <c r="AE42" i="3"/>
  <c r="AE45" i="3"/>
  <c r="AE70" i="3"/>
  <c r="AE71" i="3"/>
  <c r="AE72" i="3"/>
  <c r="AF42" i="3"/>
  <c r="AF70" i="3"/>
  <c r="H13" i="3"/>
  <c r="H14" i="3"/>
  <c r="H15" i="3" s="1"/>
  <c r="H17" i="3"/>
  <c r="H18" i="3"/>
  <c r="H19" i="3"/>
  <c r="H22" i="3"/>
  <c r="H24" i="3"/>
  <c r="M13" i="3"/>
  <c r="M14" i="3"/>
  <c r="M15" i="3" s="1"/>
  <c r="M17" i="3"/>
  <c r="M18" i="3"/>
  <c r="M19" i="3"/>
  <c r="M22" i="3"/>
  <c r="M24" i="3"/>
  <c r="R13" i="3"/>
  <c r="R14" i="3"/>
  <c r="R17" i="3"/>
  <c r="R18" i="3"/>
  <c r="R19" i="3"/>
  <c r="R22" i="3"/>
  <c r="R24" i="3"/>
  <c r="W13" i="3"/>
  <c r="W14" i="3"/>
  <c r="W15" i="3" s="1"/>
  <c r="W17" i="3"/>
  <c r="W18" i="3"/>
  <c r="W19" i="3"/>
  <c r="W22" i="3"/>
  <c r="W24" i="3"/>
  <c r="T80" i="3"/>
  <c r="T82" i="3" s="1"/>
  <c r="T79" i="3" s="1"/>
  <c r="U80" i="3"/>
  <c r="U82" i="3"/>
  <c r="V80" i="3"/>
  <c r="V82" i="3"/>
  <c r="V79" i="3"/>
  <c r="X80" i="3"/>
  <c r="X82" i="3" s="1"/>
  <c r="X79" i="3"/>
  <c r="Y82" i="3"/>
  <c r="Z82" i="3"/>
  <c r="AA82" i="3"/>
  <c r="AC82" i="3"/>
  <c r="V31" i="3"/>
  <c r="AD84" i="3"/>
  <c r="AE84" i="3"/>
  <c r="Y84" i="3"/>
  <c r="X69" i="3"/>
  <c r="X70" i="3"/>
  <c r="X71" i="3"/>
  <c r="X72" i="3"/>
  <c r="V76" i="3"/>
  <c r="X78" i="3"/>
  <c r="V78" i="3"/>
  <c r="V69" i="3"/>
  <c r="V70" i="3"/>
  <c r="V71" i="3"/>
  <c r="V72" i="3"/>
  <c r="V89" i="3"/>
  <c r="V88" i="3"/>
  <c r="V87" i="3"/>
  <c r="V86" i="3"/>
  <c r="Y86" i="3" s="1"/>
  <c r="Y89" i="3"/>
  <c r="Y88" i="3"/>
  <c r="Z88" i="3"/>
  <c r="Y87" i="3"/>
  <c r="Z87" i="3"/>
  <c r="AA87" i="3"/>
  <c r="W89" i="3"/>
  <c r="W88" i="3"/>
  <c r="W87" i="3"/>
  <c r="W86" i="3"/>
  <c r="R87" i="3"/>
  <c r="R88" i="3"/>
  <c r="R89" i="3"/>
  <c r="R86" i="3"/>
  <c r="V26"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Q81" i="3"/>
  <c r="Q82" i="3"/>
  <c r="Q79" i="3"/>
  <c r="S82" i="3"/>
  <c r="S79" i="3" s="1"/>
  <c r="V40" i="3"/>
  <c r="V62" i="3" s="1"/>
  <c r="X40" i="3"/>
  <c r="X62" i="3" s="1"/>
  <c r="T78" i="3"/>
  <c r="Q78" i="3"/>
  <c r="S78" i="3"/>
  <c r="T72" i="3"/>
  <c r="T71" i="3"/>
  <c r="T70" i="3"/>
  <c r="T69" i="3"/>
  <c r="O43" i="3"/>
  <c r="O53" i="3"/>
  <c r="O45" i="3"/>
  <c r="O55" i="3"/>
  <c r="O47" i="3"/>
  <c r="O57" i="3"/>
  <c r="O49" i="3"/>
  <c r="O59" i="3"/>
  <c r="T40" i="3"/>
  <c r="O81" i="3"/>
  <c r="O82" i="3"/>
  <c r="O78" i="3" s="1"/>
  <c r="O79" i="3"/>
  <c r="U66" i="3"/>
  <c r="V66" i="3"/>
  <c r="S66" i="3"/>
  <c r="S67" i="3" s="1"/>
  <c r="T66" i="3"/>
  <c r="U68" i="3" s="1"/>
  <c r="N53" i="3"/>
  <c r="X66" i="3"/>
  <c r="X67" i="3"/>
  <c r="Y66" i="3"/>
  <c r="Y67" i="3"/>
  <c r="T67" i="3"/>
  <c r="U67" i="3"/>
  <c r="V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s="1"/>
  <c r="S31" i="3"/>
  <c r="Q66" i="3"/>
  <c r="O66" i="3"/>
  <c r="P66" i="3"/>
  <c r="R67" i="3"/>
  <c r="Q65" i="3"/>
  <c r="P65" i="3"/>
  <c r="O65" i="3"/>
  <c r="N65" i="3"/>
  <c r="I65" i="3"/>
  <c r="F65" i="3"/>
  <c r="G65" i="3"/>
  <c r="J65" i="3"/>
  <c r="K65" i="3"/>
  <c r="L65" i="3"/>
  <c r="E65" i="3"/>
  <c r="W84" i="3"/>
  <c r="N69" i="3"/>
  <c r="O69" i="3"/>
  <c r="P69" i="3"/>
  <c r="Q69" i="3"/>
  <c r="O74" i="3"/>
  <c r="Q74" i="3"/>
  <c r="P74" i="3"/>
  <c r="N74" i="3"/>
  <c r="I74" i="3"/>
  <c r="K74" i="3"/>
  <c r="L74" i="3"/>
  <c r="N76" i="3"/>
  <c r="O76" i="3"/>
  <c r="P76" i="3"/>
  <c r="Q76" i="3"/>
  <c r="Q40" i="3"/>
  <c r="Q62" i="3"/>
  <c r="P40" i="3"/>
  <c r="P62" i="3" s="1"/>
  <c r="O40" i="3"/>
  <c r="O62" i="3"/>
  <c r="N40" i="3"/>
  <c r="N62" i="3" s="1"/>
  <c r="L40" i="3"/>
  <c r="L62" i="3"/>
  <c r="K40" i="3"/>
  <c r="K62" i="3" s="1"/>
  <c r="J40" i="3"/>
  <c r="J62" i="3"/>
  <c r="I40" i="3"/>
  <c r="E40" i="3"/>
  <c r="E62" i="3"/>
  <c r="F40" i="3"/>
  <c r="F62" i="3" s="1"/>
  <c r="G40" i="3"/>
  <c r="G62" i="3"/>
  <c r="D40" i="3"/>
  <c r="D62" i="3" s="1"/>
  <c r="W82" i="3"/>
  <c r="R81" i="3"/>
  <c r="I81" i="3"/>
  <c r="J81" i="3"/>
  <c r="K81" i="3"/>
  <c r="L81" i="3"/>
  <c r="L82" i="3" s="1"/>
  <c r="L78" i="3" s="1"/>
  <c r="F76" i="3"/>
  <c r="J76" i="3"/>
  <c r="K76" i="3"/>
  <c r="L76" i="3"/>
  <c r="E70" i="3"/>
  <c r="F70" i="3"/>
  <c r="G70" i="3"/>
  <c r="I70" i="3"/>
  <c r="J70" i="3"/>
  <c r="K70" i="3"/>
  <c r="L70" i="3"/>
  <c r="M70" i="3"/>
  <c r="R70" i="3"/>
  <c r="E71" i="3"/>
  <c r="F71" i="3"/>
  <c r="G71" i="3"/>
  <c r="H71" i="3"/>
  <c r="I71" i="3"/>
  <c r="J71" i="3"/>
  <c r="K71" i="3"/>
  <c r="L71" i="3"/>
  <c r="M71" i="3"/>
  <c r="R71" i="3"/>
  <c r="E72" i="3"/>
  <c r="F72" i="3"/>
  <c r="G72" i="3"/>
  <c r="H72" i="3"/>
  <c r="I72" i="3"/>
  <c r="J72" i="3"/>
  <c r="K72" i="3"/>
  <c r="L72" i="3"/>
  <c r="D72" i="3"/>
  <c r="D71" i="3"/>
  <c r="D70" i="3"/>
  <c r="E69" i="3"/>
  <c r="F69" i="3"/>
  <c r="G69" i="3"/>
  <c r="H69" i="3"/>
  <c r="I69" i="3"/>
  <c r="J69" i="3"/>
  <c r="K69" i="3"/>
  <c r="L69" i="3"/>
  <c r="M69" i="3"/>
  <c r="D69" i="3"/>
  <c r="V50" i="3"/>
  <c r="U50" i="3"/>
  <c r="T50" i="3"/>
  <c r="U60" i="3" s="1"/>
  <c r="S50" i="3"/>
  <c r="Q50" i="3"/>
  <c r="P50" i="3"/>
  <c r="O50" i="3"/>
  <c r="P60" i="3" s="1"/>
  <c r="N50" i="3"/>
  <c r="L50" i="3"/>
  <c r="N60" i="3"/>
  <c r="F50" i="3"/>
  <c r="G60" i="3" s="1"/>
  <c r="G50" i="3"/>
  <c r="E50" i="3"/>
  <c r="F60" i="3"/>
  <c r="D50" i="3"/>
  <c r="J50" i="3"/>
  <c r="K50" i="3"/>
  <c r="L60" i="3" s="1"/>
  <c r="K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Q27" i="3"/>
  <c r="P27" i="3"/>
  <c r="O27" i="3"/>
  <c r="N27" i="3"/>
  <c r="M26" i="3"/>
  <c r="K27" i="3"/>
  <c r="J27" i="3"/>
  <c r="H26" i="3"/>
  <c r="F27" i="3"/>
  <c r="J82" i="3"/>
  <c r="J79" i="3" s="1"/>
  <c r="I82" i="3"/>
  <c r="W81" i="3"/>
  <c r="P75" i="3"/>
  <c r="K75" i="3"/>
  <c r="J75" i="3"/>
  <c r="F75" i="3"/>
  <c r="N75" i="3"/>
  <c r="O75" i="3"/>
  <c r="O64" i="3"/>
  <c r="N64" i="3"/>
  <c r="L64" i="3"/>
  <c r="K64" i="3"/>
  <c r="I64" i="3"/>
  <c r="P64" i="3"/>
  <c r="I79" i="3"/>
  <c r="E75" i="3"/>
  <c r="J78" i="3"/>
  <c r="J64" i="3"/>
  <c r="F31" i="3"/>
  <c r="F30" i="3"/>
  <c r="O31" i="3"/>
  <c r="O30" i="3"/>
  <c r="N31" i="3"/>
  <c r="N30" i="3"/>
  <c r="M64" i="3"/>
  <c r="P30" i="3"/>
  <c r="P31" i="3"/>
  <c r="J31" i="3"/>
  <c r="J30" i="3"/>
  <c r="K31" i="3"/>
  <c r="K30" i="3"/>
  <c r="Q64" i="3"/>
  <c r="R64" i="3"/>
  <c r="Q75" i="3"/>
  <c r="Q30" i="3"/>
  <c r="Q31" i="3"/>
  <c r="L79" i="3"/>
  <c r="E76" i="3"/>
  <c r="Q60" i="3"/>
  <c r="J60" i="3"/>
  <c r="E60" i="3"/>
  <c r="O60" i="3"/>
  <c r="S62" i="3"/>
  <c r="S60" i="3"/>
  <c r="M74" i="3"/>
  <c r="H70" i="3"/>
  <c r="E31" i="3"/>
  <c r="E27" i="3"/>
  <c r="E30" i="3"/>
  <c r="X50" i="3"/>
  <c r="AB81" i="3"/>
  <c r="U62" i="3"/>
  <c r="T62" i="3"/>
  <c r="T60" i="3"/>
  <c r="Y50" i="3"/>
  <c r="S65" i="3"/>
  <c r="S64" i="3"/>
  <c r="AA50" i="3"/>
  <c r="W64" i="3"/>
  <c r="V65" i="3"/>
  <c r="V64" i="3"/>
  <c r="X60" i="3"/>
  <c r="T65" i="3"/>
  <c r="T64" i="3"/>
  <c r="U65" i="3"/>
  <c r="U64" i="3"/>
  <c r="S74" i="3"/>
  <c r="Y60" i="3"/>
  <c r="Y62" i="3"/>
  <c r="S75" i="3"/>
  <c r="U74" i="3"/>
  <c r="T74" i="3"/>
  <c r="X65" i="3"/>
  <c r="X64" i="3"/>
  <c r="V68" i="3"/>
  <c r="V75" i="3"/>
  <c r="V74" i="3"/>
  <c r="T68" i="3"/>
  <c r="Y65" i="3"/>
  <c r="Y64" i="3"/>
  <c r="X74" i="3"/>
  <c r="X75" i="3"/>
  <c r="S30" i="3"/>
  <c r="S27" i="3"/>
  <c r="W69" i="3"/>
  <c r="V27" i="3"/>
  <c r="U75" i="3"/>
  <c r="V30" i="3"/>
  <c r="I23" i="3" l="1"/>
  <c r="I75" i="3"/>
  <c r="I78" i="3"/>
  <c r="I62" i="3"/>
  <c r="I60" i="3"/>
  <c r="AD87" i="3"/>
  <c r="AA88" i="3"/>
  <c r="U79" i="3"/>
  <c r="U78" i="3"/>
  <c r="H20" i="3"/>
  <c r="J74" i="3"/>
  <c r="H73" i="3"/>
  <c r="P79" i="3"/>
  <c r="P78" i="3"/>
  <c r="W20" i="3"/>
  <c r="W73" i="3"/>
  <c r="Z58" i="3"/>
  <c r="D27" i="3"/>
  <c r="D76" i="3"/>
  <c r="G31" i="3"/>
  <c r="G75" i="3"/>
  <c r="M81" i="3"/>
  <c r="K82" i="3"/>
  <c r="R82" i="3"/>
  <c r="N78" i="3"/>
  <c r="AC87" i="3"/>
  <c r="AF84" i="3"/>
  <c r="M20" i="3"/>
  <c r="M72" i="3"/>
  <c r="M73" i="3"/>
  <c r="AC22" i="3"/>
  <c r="AB22" i="3"/>
  <c r="AC48" i="3"/>
  <c r="U25" i="3"/>
  <c r="U76" i="3"/>
  <c r="T27" i="3"/>
  <c r="T30" i="3"/>
  <c r="T75" i="3"/>
  <c r="W74" i="3"/>
  <c r="D30" i="3"/>
  <c r="D75" i="3"/>
  <c r="G30" i="3"/>
  <c r="L31" i="3"/>
  <c r="L75" i="3"/>
  <c r="L27" i="3"/>
  <c r="G76" i="3"/>
  <c r="W66" i="3"/>
  <c r="W67" i="3" s="1"/>
  <c r="S68" i="3"/>
  <c r="Z89" i="3"/>
  <c r="AC89" i="3" s="1"/>
  <c r="AA89" i="3"/>
  <c r="T76" i="3"/>
  <c r="AB82" i="3"/>
  <c r="R20" i="3"/>
  <c r="R74" i="3"/>
  <c r="R72" i="3"/>
  <c r="AE44" i="3"/>
  <c r="AF45" i="3"/>
  <c r="AF44" i="3" s="1"/>
  <c r="V60" i="3"/>
  <c r="AB87" i="3"/>
  <c r="Z86" i="3"/>
  <c r="AC88" i="3"/>
  <c r="AC38" i="3"/>
  <c r="AE49" i="3"/>
  <c r="AF49" i="3" s="1"/>
  <c r="AF48" i="3" s="1"/>
  <c r="Z48" i="3"/>
  <c r="AD49" i="3"/>
  <c r="AD48" i="3" s="1"/>
  <c r="AA52" i="3"/>
  <c r="AC53" i="3"/>
  <c r="AC52" i="3" s="1"/>
  <c r="AC36" i="3" s="1"/>
  <c r="Y18" i="3"/>
  <c r="Y14" i="3"/>
  <c r="Y19" i="3"/>
  <c r="Y15" i="3"/>
  <c r="Y17" i="3"/>
  <c r="AB88" i="3"/>
  <c r="W21" i="3"/>
  <c r="R15" i="3"/>
  <c r="R73" i="3"/>
  <c r="M21" i="3"/>
  <c r="H21" i="3"/>
  <c r="AD81" i="3"/>
  <c r="AE81" i="3"/>
  <c r="AE82" i="3" s="1"/>
  <c r="X76" i="3"/>
  <c r="AC76" i="3" s="1"/>
  <c r="X25" i="3"/>
  <c r="AE57" i="3"/>
  <c r="AD47" i="3"/>
  <c r="AD46" i="3" s="1"/>
  <c r="AD38" i="3" s="1"/>
  <c r="AE55" i="3"/>
  <c r="AE54" i="3" s="1"/>
  <c r="AD42" i="3"/>
  <c r="AA59" i="3"/>
  <c r="AC59" i="3" s="1"/>
  <c r="AC58" i="3" s="1"/>
  <c r="X31" i="3" l="1"/>
  <c r="X30" i="3"/>
  <c r="X27" i="3"/>
  <c r="W75" i="3"/>
  <c r="W23" i="3"/>
  <c r="AD50" i="3"/>
  <c r="AD76" i="3"/>
  <c r="M23" i="3"/>
  <c r="M75" i="3"/>
  <c r="AE37" i="3"/>
  <c r="AC39" i="3"/>
  <c r="AC40" i="3" s="1"/>
  <c r="AC50" i="3"/>
  <c r="AE56" i="3"/>
  <c r="AF57" i="3"/>
  <c r="AF56" i="3" s="1"/>
  <c r="AA36" i="3"/>
  <c r="AD39" i="3"/>
  <c r="AG84" i="3"/>
  <c r="Z79" i="3"/>
  <c r="Y79" i="3"/>
  <c r="I25" i="3"/>
  <c r="I76" i="3"/>
  <c r="AA58" i="3"/>
  <c r="H23" i="3"/>
  <c r="H75" i="3"/>
  <c r="AD88" i="3"/>
  <c r="AB89" i="3"/>
  <c r="Y78" i="3"/>
  <c r="AA86" i="3"/>
  <c r="AE47" i="3"/>
  <c r="AF55" i="3"/>
  <c r="AF54" i="3" s="1"/>
  <c r="AF37" i="3" s="1"/>
  <c r="AD82" i="3"/>
  <c r="AG82" i="3" s="1"/>
  <c r="AF81" i="3"/>
  <c r="AF82" i="3" s="1"/>
  <c r="AG81" i="3"/>
  <c r="R21" i="3"/>
  <c r="R69" i="3"/>
  <c r="Y20" i="3"/>
  <c r="Y21" i="3" s="1"/>
  <c r="Y74" i="3"/>
  <c r="AD53" i="3"/>
  <c r="Z39" i="3"/>
  <c r="Z40" i="3" s="1"/>
  <c r="AE48" i="3"/>
  <c r="AA39" i="3"/>
  <c r="Z50" i="3"/>
  <c r="AE88" i="3"/>
  <c r="AF88" i="3" s="1"/>
  <c r="U27" i="3"/>
  <c r="U30" i="3"/>
  <c r="U31" i="3"/>
  <c r="AD22" i="3"/>
  <c r="AE22" i="3" s="1"/>
  <c r="AF22" i="3" s="1"/>
  <c r="K78" i="3"/>
  <c r="K79" i="3"/>
  <c r="AD59" i="3"/>
  <c r="AD58" i="3" s="1"/>
  <c r="AE87" i="3"/>
  <c r="AF87" i="3" s="1"/>
  <c r="M82" i="3"/>
  <c r="AD89" i="3"/>
  <c r="Y23" i="3" l="1"/>
  <c r="Y75" i="3"/>
  <c r="AC13" i="3"/>
  <c r="AC60" i="3"/>
  <c r="AF89" i="3"/>
  <c r="AG88" i="3"/>
  <c r="AD52" i="3"/>
  <c r="AD36" i="3" s="1"/>
  <c r="AD40" i="3" s="1"/>
  <c r="AB86" i="3"/>
  <c r="AC86" i="3"/>
  <c r="AE89" i="3"/>
  <c r="AE76" i="3"/>
  <c r="AF76" i="3" s="1"/>
  <c r="AG89" i="3"/>
  <c r="AG87" i="3"/>
  <c r="Y28" i="3"/>
  <c r="Z28" i="3" s="1"/>
  <c r="AE86" i="3"/>
  <c r="H25" i="3"/>
  <c r="H76" i="3"/>
  <c r="I27" i="3"/>
  <c r="I30" i="3"/>
  <c r="I31" i="3"/>
  <c r="AA40" i="3"/>
  <c r="AE59" i="3"/>
  <c r="M25" i="3"/>
  <c r="M76" i="3"/>
  <c r="W25" i="3"/>
  <c r="W76" i="3"/>
  <c r="AD86" i="3"/>
  <c r="AF86" i="3" s="1"/>
  <c r="Z13" i="3"/>
  <c r="Z60" i="3"/>
  <c r="AE46" i="3"/>
  <c r="AF47" i="3"/>
  <c r="AF46" i="3" s="1"/>
  <c r="AG22" i="3"/>
  <c r="R23" i="3"/>
  <c r="R75" i="3"/>
  <c r="Z78" i="3"/>
  <c r="Y29" i="3"/>
  <c r="Z29" i="3" s="1"/>
  <c r="AA29" i="3" s="1"/>
  <c r="AA79" i="3"/>
  <c r="AE53" i="3"/>
  <c r="AE52" i="3" s="1"/>
  <c r="AE36" i="3" s="1"/>
  <c r="Z18" i="3" l="1"/>
  <c r="Z14" i="3"/>
  <c r="Z19" i="3"/>
  <c r="Z15" i="3"/>
  <c r="Z17" i="3"/>
  <c r="Z66" i="3"/>
  <c r="Z65" i="3"/>
  <c r="Z64" i="3"/>
  <c r="AC17" i="3"/>
  <c r="AC18" i="3"/>
  <c r="AC14" i="3"/>
  <c r="AC19" i="3"/>
  <c r="AC65" i="3"/>
  <c r="AC64" i="3"/>
  <c r="AC66" i="3"/>
  <c r="R25" i="3"/>
  <c r="R76" i="3"/>
  <c r="AE38" i="3"/>
  <c r="AE50" i="3"/>
  <c r="M31" i="3"/>
  <c r="M30" i="3"/>
  <c r="M27" i="3"/>
  <c r="AA28" i="3"/>
  <c r="AF59" i="3"/>
  <c r="AF58" i="3" s="1"/>
  <c r="AF39" i="3" s="1"/>
  <c r="AE58" i="3"/>
  <c r="AE39" i="3" s="1"/>
  <c r="AF38" i="3"/>
  <c r="AF50" i="3"/>
  <c r="H30" i="3"/>
  <c r="H27" i="3"/>
  <c r="H31" i="3"/>
  <c r="AE40" i="3"/>
  <c r="Z62" i="3"/>
  <c r="AF53" i="3"/>
  <c r="AF52" i="3" s="1"/>
  <c r="AF36" i="3" s="1"/>
  <c r="AC79" i="3"/>
  <c r="AD79" i="3" s="1"/>
  <c r="W28" i="3"/>
  <c r="W27" i="3"/>
  <c r="W31" i="3"/>
  <c r="W30" i="3"/>
  <c r="W29" i="3"/>
  <c r="AA13" i="3"/>
  <c r="AA62" i="3"/>
  <c r="AA60" i="3"/>
  <c r="AA78" i="3"/>
  <c r="AG86" i="3"/>
  <c r="AD13" i="3"/>
  <c r="AD62" i="3" s="1"/>
  <c r="AD60" i="3"/>
  <c r="AC62" i="3"/>
  <c r="Y24" i="3"/>
  <c r="AC29" i="3" l="1"/>
  <c r="AC20" i="3"/>
  <c r="AE79" i="3"/>
  <c r="AF79" i="3" s="1"/>
  <c r="AA17" i="3"/>
  <c r="AA18" i="3"/>
  <c r="AA14" i="3"/>
  <c r="AA74" i="3" s="1"/>
  <c r="AA19" i="3"/>
  <c r="AA66" i="3"/>
  <c r="AA67" i="3" s="1"/>
  <c r="AA64" i="3"/>
  <c r="AA65" i="3"/>
  <c r="AF40" i="3"/>
  <c r="AC67" i="3"/>
  <c r="AC15" i="3"/>
  <c r="AC21" i="3" s="1"/>
  <c r="Z67" i="3"/>
  <c r="Z74" i="3"/>
  <c r="AD17" i="3"/>
  <c r="AD18" i="3"/>
  <c r="AD14" i="3"/>
  <c r="AD19" i="3"/>
  <c r="AD65" i="3"/>
  <c r="AD64" i="3"/>
  <c r="AD66" i="3"/>
  <c r="AD67" i="3" s="1"/>
  <c r="R27" i="3"/>
  <c r="R31" i="3"/>
  <c r="R30" i="3"/>
  <c r="AE13" i="3"/>
  <c r="AE62" i="3"/>
  <c r="AE60" i="3"/>
  <c r="AB19" i="3"/>
  <c r="Y25" i="3"/>
  <c r="AC78" i="3"/>
  <c r="AD78" i="3"/>
  <c r="AB13" i="3"/>
  <c r="Z20" i="3"/>
  <c r="Z21" i="3" s="1"/>
  <c r="AB17" i="3"/>
  <c r="AB18" i="3"/>
  <c r="Z23" i="3" l="1"/>
  <c r="Z75" i="3"/>
  <c r="AC23" i="3"/>
  <c r="AC75" i="3"/>
  <c r="AB64" i="3"/>
  <c r="Y31" i="3"/>
  <c r="Y30" i="3"/>
  <c r="Y27" i="3"/>
  <c r="AB14" i="3"/>
  <c r="AB15" i="3" s="1"/>
  <c r="AB20" i="3"/>
  <c r="AE14" i="3"/>
  <c r="AE15" i="3"/>
  <c r="AE18" i="3"/>
  <c r="AE17" i="3"/>
  <c r="AE65" i="3"/>
  <c r="AE19" i="3"/>
  <c r="AE64" i="3"/>
  <c r="AE66" i="3"/>
  <c r="AE67" i="3" s="1"/>
  <c r="AD15" i="3"/>
  <c r="AF13" i="3"/>
  <c r="AF60" i="3"/>
  <c r="AA15" i="3"/>
  <c r="AA20" i="3"/>
  <c r="AE78" i="3"/>
  <c r="AF78" i="3" s="1"/>
  <c r="AC28" i="3"/>
  <c r="AD20" i="3"/>
  <c r="AB66" i="3"/>
  <c r="AB67" i="3" s="1"/>
  <c r="AC74" i="3"/>
  <c r="AD29" i="3"/>
  <c r="AE29" i="3" s="1"/>
  <c r="AF29" i="3" s="1"/>
  <c r="AB21" i="3" l="1"/>
  <c r="AB69" i="3"/>
  <c r="AC24" i="3"/>
  <c r="AD21" i="3"/>
  <c r="AE74" i="3"/>
  <c r="AF17" i="3"/>
  <c r="AF14" i="3"/>
  <c r="AF18" i="3"/>
  <c r="AG18" i="3" s="1"/>
  <c r="AF15" i="3"/>
  <c r="AF19" i="3"/>
  <c r="AG19" i="3" s="1"/>
  <c r="AF64" i="3"/>
  <c r="AF65" i="3"/>
  <c r="AF66" i="3"/>
  <c r="AG13" i="3"/>
  <c r="AB74" i="3"/>
  <c r="AB73" i="3"/>
  <c r="AA21" i="3"/>
  <c r="AE21" i="3"/>
  <c r="AD74" i="3"/>
  <c r="AD28" i="3"/>
  <c r="AE28" i="3" s="1"/>
  <c r="AF28" i="3" s="1"/>
  <c r="AF62" i="3"/>
  <c r="AE20" i="3"/>
  <c r="Z24" i="3"/>
  <c r="Z25" i="3"/>
  <c r="AG64" i="3" l="1"/>
  <c r="AF20" i="3"/>
  <c r="AF21" i="3" s="1"/>
  <c r="AF67" i="3"/>
  <c r="AG66" i="3"/>
  <c r="AG67" i="3" s="1"/>
  <c r="AE23" i="3"/>
  <c r="AE75" i="3"/>
  <c r="AA23" i="3"/>
  <c r="AA75" i="3"/>
  <c r="AD23" i="3"/>
  <c r="AD75" i="3"/>
  <c r="Z27" i="3"/>
  <c r="Z31" i="3"/>
  <c r="Z30" i="3"/>
  <c r="AG17" i="3"/>
  <c r="AG20" i="3" s="1"/>
  <c r="AF74" i="3"/>
  <c r="AG14" i="3"/>
  <c r="AC25" i="3"/>
  <c r="AB23" i="3"/>
  <c r="AB75" i="3"/>
  <c r="AF23" i="3" l="1"/>
  <c r="AF75" i="3"/>
  <c r="AB25" i="3"/>
  <c r="AA25" i="3"/>
  <c r="AA24" i="3"/>
  <c r="AB24" i="3" s="1"/>
  <c r="AB76" i="3" s="1"/>
  <c r="AG73" i="3"/>
  <c r="AG74" i="3"/>
  <c r="AD24" i="3"/>
  <c r="AE24" i="3"/>
  <c r="AE25" i="3"/>
  <c r="AC30" i="3"/>
  <c r="AC31" i="3"/>
  <c r="AC27" i="3"/>
  <c r="AG15" i="3"/>
  <c r="AB27" i="3" l="1"/>
  <c r="AB30" i="3"/>
  <c r="AB31" i="3"/>
  <c r="AB29" i="3"/>
  <c r="AB28" i="3"/>
  <c r="AA27" i="3"/>
  <c r="AA31" i="3"/>
  <c r="AA30" i="3"/>
  <c r="AE27" i="3"/>
  <c r="AE30" i="3"/>
  <c r="AE31" i="3"/>
  <c r="AG21" i="3"/>
  <c r="AG69" i="3"/>
  <c r="AD25" i="3"/>
  <c r="AF24" i="3"/>
  <c r="AG24" i="3" s="1"/>
  <c r="AD27" i="3" l="1"/>
  <c r="AD30" i="3"/>
  <c r="AD31" i="3"/>
  <c r="AF25" i="3"/>
  <c r="AG23" i="3"/>
  <c r="AG25" i="3" s="1"/>
  <c r="AG75" i="3"/>
  <c r="AG30" i="3" l="1"/>
  <c r="AG27" i="3"/>
  <c r="AG29" i="3"/>
  <c r="AG31" i="3" s="1"/>
  <c r="AG28" i="3"/>
  <c r="AF30" i="3"/>
  <c r="AF31" i="3"/>
  <c r="AF27" i="3"/>
  <c r="AG7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00000000-0006-0000-0100-000001000000}">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00000000-0006-0000-0100-000002000000}">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00000000-0006-0000-0100-000003000000}">
      <text>
        <r>
          <rPr>
            <b/>
            <sz val="9"/>
            <color indexed="81"/>
            <rFont val="Tahoma"/>
            <family val="2"/>
          </rPr>
          <t xml:space="preserve">Primary Input: </t>
        </r>
        <r>
          <rPr>
            <sz val="9"/>
            <color indexed="81"/>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00000000-0006-0000-0100-000004000000}">
      <text>
        <r>
          <rPr>
            <b/>
            <sz val="9"/>
            <color indexed="81"/>
            <rFont val="Tahoma"/>
            <family val="2"/>
          </rPr>
          <t xml:space="preserve">Primary Input: </t>
        </r>
        <r>
          <rPr>
            <sz val="9"/>
            <color indexed="81"/>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00000000-0006-0000-0100-000005000000}">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00000000-0006-0000-0100-000006000000}">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00000000-0006-0000-0100-000007000000}">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00000000-0006-0000-0100-000008000000}">
      <text>
        <r>
          <rPr>
            <b/>
            <sz val="9"/>
            <color indexed="81"/>
            <rFont val="Tahoma"/>
            <family val="2"/>
          </rPr>
          <t xml:space="preserve">Primary Input: </t>
        </r>
        <r>
          <rPr>
            <sz val="9"/>
            <color indexed="81"/>
            <rFont val="Tahoma"/>
            <family val="2"/>
          </rPr>
          <t xml:space="preserve">If you believe the cost to operate data centers, SBC, energy, bandwith costs, and TAC will increase, decrease the gross margin estimate. If not increase the estimate. </t>
        </r>
      </text>
    </comment>
    <comment ref="AB73" authorId="0" shapeId="0" xr:uid="{00000000-0006-0000-0100-000009000000}">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00000000-0006-0000-0100-00000A000000}">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00000000-0006-0000-0100-00000B000000}">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00000000-0006-0000-0100-00000C000000}">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00000000-0006-0000-0100-00000D000000}">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<sst xmlns="http://schemas.openxmlformats.org/spreadsheetml/2006/main" count="439" uniqueCount="157">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</sst>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00000000-0005-0000-0000-0000EE000000}"/>
    <cellStyle name="Normal 12" xfId="332" xr:uid="{00000000-0005-0000-0000-0000EF000000}"/>
    <cellStyle name="Normal 141" xfId="330" xr:uid="{00000000-0005-0000-0000-0000F0000000}"/>
    <cellStyle name="Normal 2" xfId="3" xr:uid="{00000000-0005-0000-0000-0000F1000000}"/>
    <cellStyle name="Normal 2 2" xfId="240" xr:uid="{00000000-0005-0000-0000-0000F2000000}"/>
    <cellStyle name="Normal 2 2 2" xfId="241" xr:uid="{00000000-0005-0000-0000-0000F3000000}"/>
    <cellStyle name="Normal 2 3" xfId="242" xr:uid="{00000000-0005-0000-0000-0000F4000000}"/>
    <cellStyle name="Normal 2 3 2" xfId="243" xr:uid="{00000000-0005-0000-0000-0000F5000000}"/>
    <cellStyle name="Normal 2 4" xfId="244" xr:uid="{00000000-0005-0000-0000-0000F6000000}"/>
    <cellStyle name="Normal 2 5" xfId="245" xr:uid="{00000000-0005-0000-0000-0000F7000000}"/>
    <cellStyle name="Normal 2 6" xfId="246" xr:uid="{00000000-0005-0000-0000-0000F8000000}"/>
    <cellStyle name="Normal 2 7" xfId="247" xr:uid="{00000000-0005-0000-0000-0000F9000000}"/>
    <cellStyle name="Normal 2 8" xfId="248" xr:uid="{00000000-0005-0000-0000-0000FA000000}"/>
    <cellStyle name="Normal 3" xfId="4" xr:uid="{00000000-0005-0000-0000-0000FB000000}"/>
    <cellStyle name="Normal 3 2" xfId="249" xr:uid="{00000000-0005-0000-0000-0000FC000000}"/>
    <cellStyle name="Normal 3 3" xfId="250" xr:uid="{00000000-0005-0000-0000-0000FD000000}"/>
    <cellStyle name="Normal 3 4" xfId="251" xr:uid="{00000000-0005-0000-0000-0000FE000000}"/>
    <cellStyle name="Normal 4" xfId="252" xr:uid="{00000000-0005-0000-0000-0000FF000000}"/>
    <cellStyle name="Normal 5" xfId="253" xr:uid="{00000000-0005-0000-0000-000000010000}"/>
    <cellStyle name="Normal 5 2" xfId="254" xr:uid="{00000000-0005-0000-0000-000001010000}"/>
    <cellStyle name="Normal 6" xfId="255" xr:uid="{00000000-0005-0000-0000-000002010000}"/>
    <cellStyle name="Normal 6 2" xfId="256" xr:uid="{00000000-0005-0000-0000-000003010000}"/>
    <cellStyle name="Normal 6 3" xfId="257" xr:uid="{00000000-0005-0000-0000-000004010000}"/>
    <cellStyle name="Normal 7" xfId="258" xr:uid="{00000000-0005-0000-0000-000005010000}"/>
    <cellStyle name="Normal 7 2" xfId="259" xr:uid="{00000000-0005-0000-0000-000006010000}"/>
    <cellStyle name="Normal 8" xfId="260" xr:uid="{00000000-0005-0000-0000-000007010000}"/>
    <cellStyle name="Normal 8 2" xfId="261" xr:uid="{00000000-0005-0000-0000-000008010000}"/>
    <cellStyle name="Normal 8 3" xfId="262" xr:uid="{00000000-0005-0000-0000-000009010000}"/>
    <cellStyle name="Normal 9" xfId="263" xr:uid="{00000000-0005-0000-0000-00000A010000}"/>
    <cellStyle name="Number0DecimalStyle" xfId="264" xr:uid="{00000000-0005-0000-0000-00000B010000}"/>
    <cellStyle name="Number0DecimalStyle 2" xfId="265" xr:uid="{00000000-0005-0000-0000-00000C010000}"/>
    <cellStyle name="Number10DecimalStyle" xfId="266" xr:uid="{00000000-0005-0000-0000-00000D010000}"/>
    <cellStyle name="Number1DecimalStyle" xfId="267" xr:uid="{00000000-0005-0000-0000-00000E010000}"/>
    <cellStyle name="Number2DecimalStyle" xfId="268" xr:uid="{00000000-0005-0000-0000-00000F010000}"/>
    <cellStyle name="Number2DecimalStyle 2" xfId="269" xr:uid="{00000000-0005-0000-0000-000010010000}"/>
    <cellStyle name="Number3DecimalStyle" xfId="270" xr:uid="{00000000-0005-0000-0000-000011010000}"/>
    <cellStyle name="Number4DecimalStyle" xfId="271" xr:uid="{00000000-0005-0000-0000-000012010000}"/>
    <cellStyle name="Number5DecimalStyle" xfId="272" xr:uid="{00000000-0005-0000-0000-000013010000}"/>
    <cellStyle name="Number6DecimalStyle" xfId="273" xr:uid="{00000000-0005-0000-0000-000014010000}"/>
    <cellStyle name="Number7DecimalStyle" xfId="274" xr:uid="{00000000-0005-0000-0000-000015010000}"/>
    <cellStyle name="Number8DecimalStyle" xfId="275" xr:uid="{00000000-0005-0000-0000-000016010000}"/>
    <cellStyle name="Number9DecimalStyle" xfId="276" xr:uid="{00000000-0005-0000-0000-000017010000}"/>
    <cellStyle name="over" xfId="277" xr:uid="{00000000-0005-0000-0000-000018010000}"/>
    <cellStyle name="Percent" xfId="2" builtinId="5"/>
    <cellStyle name="percent (0)" xfId="278" xr:uid="{00000000-0005-0000-0000-00001A010000}"/>
    <cellStyle name="Percent [0]" xfId="279" xr:uid="{00000000-0005-0000-0000-00001B010000}"/>
    <cellStyle name="Percent [0] 2" xfId="280" xr:uid="{00000000-0005-0000-0000-00001C010000}"/>
    <cellStyle name="Percent [00]" xfId="281" xr:uid="{00000000-0005-0000-0000-00001D010000}"/>
    <cellStyle name="Percent [00] 2" xfId="282" xr:uid="{00000000-0005-0000-0000-00001E010000}"/>
    <cellStyle name="Percent [2]" xfId="283" xr:uid="{00000000-0005-0000-0000-00001F010000}"/>
    <cellStyle name="Percent 10" xfId="284" xr:uid="{00000000-0005-0000-0000-000020010000}"/>
    <cellStyle name="Percent 2" xfId="285" xr:uid="{00000000-0005-0000-0000-000021010000}"/>
    <cellStyle name="Percent 2 2" xfId="286" xr:uid="{00000000-0005-0000-0000-000022010000}"/>
    <cellStyle name="Percent 2 3" xfId="287" xr:uid="{00000000-0005-0000-0000-000023010000}"/>
    <cellStyle name="Percent 2 4" xfId="288" xr:uid="{00000000-0005-0000-0000-000024010000}"/>
    <cellStyle name="Percent 3" xfId="289" xr:uid="{00000000-0005-0000-0000-000025010000}"/>
    <cellStyle name="Percent 3 2" xfId="290" xr:uid="{00000000-0005-0000-0000-000026010000}"/>
    <cellStyle name="Percent 4" xfId="291" xr:uid="{00000000-0005-0000-0000-000027010000}"/>
    <cellStyle name="Percent 6" xfId="292" xr:uid="{00000000-0005-0000-0000-000028010000}"/>
    <cellStyle name="PERCENTAGE" xfId="293" xr:uid="{00000000-0005-0000-0000-000029010000}"/>
    <cellStyle name="posit" xfId="294" xr:uid="{00000000-0005-0000-0000-00002A010000}"/>
    <cellStyle name="Powerpoint Style" xfId="295" xr:uid="{00000000-0005-0000-0000-00002B010000}"/>
    <cellStyle name="PrePop Currency (0)" xfId="296" xr:uid="{00000000-0005-0000-0000-00002C010000}"/>
    <cellStyle name="PrePop Currency (0) 2" xfId="297" xr:uid="{00000000-0005-0000-0000-00002D010000}"/>
    <cellStyle name="PrePop Currency (2)" xfId="298" xr:uid="{00000000-0005-0000-0000-00002E010000}"/>
    <cellStyle name="PrePop Currency (2) 2" xfId="299" xr:uid="{00000000-0005-0000-0000-00002F010000}"/>
    <cellStyle name="PrePop Units (0)" xfId="300" xr:uid="{00000000-0005-0000-0000-000030010000}"/>
    <cellStyle name="PrePop Units (0) 2" xfId="301" xr:uid="{00000000-0005-0000-0000-000031010000}"/>
    <cellStyle name="PrePop Units (1)" xfId="302" xr:uid="{00000000-0005-0000-0000-000032010000}"/>
    <cellStyle name="PrePop Units (1) 2" xfId="303" xr:uid="{00000000-0005-0000-0000-000033010000}"/>
    <cellStyle name="PrePop Units (2)" xfId="304" xr:uid="{00000000-0005-0000-0000-000034010000}"/>
    <cellStyle name="PrePop Units (2) 2" xfId="305" xr:uid="{00000000-0005-0000-0000-000035010000}"/>
    <cellStyle name="SingleTopDoubleBott" xfId="306" xr:uid="{00000000-0005-0000-0000-000036010000}"/>
    <cellStyle name="Standard_A" xfId="307" xr:uid="{00000000-0005-0000-0000-000037010000}"/>
    <cellStyle name="Style 1" xfId="308" xr:uid="{00000000-0005-0000-0000-000038010000}"/>
    <cellStyle name="Style 2" xfId="309" xr:uid="{00000000-0005-0000-0000-000039010000}"/>
    <cellStyle name="Style 3" xfId="310" xr:uid="{00000000-0005-0000-0000-00003A010000}"/>
    <cellStyle name="Style 4" xfId="311" xr:uid="{00000000-0005-0000-0000-00003B010000}"/>
    <cellStyle name="Text Indent A" xfId="312" xr:uid="{00000000-0005-0000-0000-00003C010000}"/>
    <cellStyle name="Text Indent B" xfId="313" xr:uid="{00000000-0005-0000-0000-00003D010000}"/>
    <cellStyle name="Text Indent B 2" xfId="314" xr:uid="{00000000-0005-0000-0000-00003E010000}"/>
    <cellStyle name="Text Indent C" xfId="315" xr:uid="{00000000-0005-0000-0000-00003F010000}"/>
    <cellStyle name="Text Indent C 2" xfId="316" xr:uid="{00000000-0005-0000-0000-000040010000}"/>
    <cellStyle name="TextStyle" xfId="317" xr:uid="{00000000-0005-0000-0000-000041010000}"/>
    <cellStyle name="Tickmark" xfId="318" xr:uid="{00000000-0005-0000-0000-000042010000}"/>
    <cellStyle name="TimStyle" xfId="319" xr:uid="{00000000-0005-0000-0000-000043010000}"/>
    <cellStyle name="Total 2" xfId="320" xr:uid="{00000000-0005-0000-0000-000044010000}"/>
    <cellStyle name="Total 3" xfId="321" xr:uid="{00000000-0005-0000-0000-000045010000}"/>
    <cellStyle name="Total 4" xfId="322" xr:uid="{00000000-0005-0000-0000-000046010000}"/>
    <cellStyle name="Underline" xfId="323" xr:uid="{00000000-0005-0000-0000-000047010000}"/>
    <cellStyle name="UnderlineDouble" xfId="324" xr:uid="{00000000-0005-0000-0000-000048010000}"/>
    <cellStyle name="Währung [0]_RESULTS" xfId="325" xr:uid="{00000000-0005-0000-0000-000049010000}"/>
    <cellStyle name="Währung_RESULTS" xfId="326" xr:uid="{00000000-0005-0000-0000-00004A010000}"/>
    <cellStyle name="표준_BINV" xfId="327" xr:uid="{00000000-0005-0000-0000-00004B010000}"/>
    <cellStyle name="標準_99B-05PE_IC2" xfId="328" xr:uid="{00000000-0005-0000-0000-00004C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2053738984"/>
        <c:axId val="-2053500808"/>
      </c:lineChart>
      <c:catAx>
        <c:axId val="-205373898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53500808"/>
        <c:crosses val="autoZero"/>
        <c:auto val="1"/>
        <c:lblAlgn val="ctr"/>
        <c:lblOffset val="100"/>
        <c:tickLblSkip val="7"/>
        <c:noMultiLvlLbl val="1"/>
      </c:catAx>
      <c:valAx>
        <c:axId val="-2053500808"/>
        <c:scaling>
          <c:orientation val="minMax"/>
        </c:scaling>
        <c:delete val="0"/>
        <c:axPos val="l"/>
        <c:majorGridlines/>
        <c:numFmt formatCode="0.0\x" sourceLinked="0"/>
        <c:majorTickMark val="out"/>
        <c:minorTickMark val="none"/>
        <c:tickLblPos val="nextTo"/>
        <c:crossAx val="-20537389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99"/>
          <c:y val="6.0114217012323399E-3"/>
        </c:manualLayout>
      </c:layout>
      <c:overlay val="1"/>
    </c:title>
    <c:autoTitleDeleted val="0"/>
    <c:plotArea>
      <c:layout>
        <c:manualLayout>
          <c:layoutTarget val="inner"/>
          <c:xMode val="edge"/>
          <c:yMode val="edge"/>
          <c:x val="7.5259906105276497E-2"/>
          <c:y val="9.884433967846E-2"/>
          <c:w val="0.78454722918835496"/>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2641.57</c:v>
                </c:pt>
                <c:pt idx="5">
                  <c:v>2649.1465060235505</c:v>
                </c:pt>
                <c:pt idx="6">
                  <c:v>2699.1560000000004</c:v>
                </c:pt>
                <c:pt idx="7">
                  <c:v>2831.4480480484681</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2053593512"/>
        <c:axId val="-2053590440"/>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6.8333984994003334</c:v>
                </c:pt>
                <c:pt idx="5">
                  <c:v>7.2549554121305189</c:v>
                </c:pt>
                <c:pt idx="6">
                  <c:v>9.0475509066754487</c:v>
                </c:pt>
                <c:pt idx="7">
                  <c:v>7.8035693662439778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2053583896"/>
        <c:axId val="-2053587080"/>
      </c:lineChart>
      <c:catAx>
        <c:axId val="-2053593512"/>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2053590440"/>
        <c:crosses val="autoZero"/>
        <c:auto val="1"/>
        <c:lblAlgn val="ctr"/>
        <c:lblOffset val="100"/>
        <c:noMultiLvlLbl val="0"/>
      </c:catAx>
      <c:valAx>
        <c:axId val="-2053590440"/>
        <c:scaling>
          <c:orientation val="minMax"/>
        </c:scaling>
        <c:delete val="0"/>
        <c:axPos val="l"/>
        <c:majorGridlines>
          <c:spPr>
            <a:ln>
              <a:prstDash val="dash"/>
            </a:ln>
          </c:spPr>
        </c:majorGridlines>
        <c:numFmt formatCode="#,##0" sourceLinked="0"/>
        <c:majorTickMark val="out"/>
        <c:minorTickMark val="none"/>
        <c:tickLblPos val="nextTo"/>
        <c:spPr>
          <a:ln>
            <a:noFill/>
          </a:ln>
        </c:spPr>
        <c:crossAx val="-2053593512"/>
        <c:crosses val="autoZero"/>
        <c:crossBetween val="between"/>
      </c:valAx>
      <c:valAx>
        <c:axId val="-2053587080"/>
        <c:scaling>
          <c:orientation val="minMax"/>
        </c:scaling>
        <c:delete val="0"/>
        <c:axPos val="r"/>
        <c:numFmt formatCode="&quot;$&quot;#,##0.0" sourceLinked="0"/>
        <c:majorTickMark val="out"/>
        <c:minorTickMark val="none"/>
        <c:tickLblPos val="nextTo"/>
        <c:crossAx val="-2053583896"/>
        <c:crosses val="max"/>
        <c:crossBetween val="between"/>
      </c:valAx>
      <c:catAx>
        <c:axId val="-2053583896"/>
        <c:scaling>
          <c:orientation val="minMax"/>
        </c:scaling>
        <c:delete val="1"/>
        <c:axPos val="b"/>
        <c:numFmt formatCode="General" sourceLinked="1"/>
        <c:majorTickMark val="out"/>
        <c:minorTickMark val="none"/>
        <c:tickLblPos val="nextTo"/>
        <c:crossAx val="-2053587080"/>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099E-3"/>
          <c:y val="0.82587988043424199"/>
          <c:w val="0.99567776198227798"/>
          <c:h val="0.15834984107599701"/>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5"/>
  <sheetViews>
    <sheetView showGridLines="0"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I90"/>
  <sheetViews>
    <sheetView showGridLines="0" tabSelected="1" workbookViewId="0">
      <pane xSplit="3" ySplit="12" topLeftCell="W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2" t="s">
        <v>14</v>
      </c>
      <c r="C2" s="193"/>
      <c r="K2" s="12"/>
    </row>
    <row r="3" spans="1:61" x14ac:dyDescent="0.3">
      <c r="B3" s="204" t="s">
        <v>154</v>
      </c>
      <c r="C3" s="205"/>
      <c r="D3" s="13"/>
      <c r="G3" s="14"/>
      <c r="H3" s="14"/>
    </row>
    <row r="4" spans="1:61" x14ac:dyDescent="0.3">
      <c r="B4" s="206" t="s">
        <v>155</v>
      </c>
      <c r="C4" s="207"/>
      <c r="D4" s="13"/>
      <c r="G4" s="14"/>
      <c r="H4" s="14"/>
      <c r="BI4" s="4" t="s">
        <v>15</v>
      </c>
    </row>
    <row r="5" spans="1:61" x14ac:dyDescent="0.3">
      <c r="B5" s="208" t="s">
        <v>156</v>
      </c>
      <c r="C5" s="209"/>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187"/>
      <c r="B11" s="185" t="s">
        <v>74</v>
      </c>
      <c r="C11" s="186"/>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87"/>
      <c r="B12" s="202" t="s">
        <v>3</v>
      </c>
      <c r="C12" s="20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0" t="s">
        <v>19</v>
      </c>
      <c r="C13" s="19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17919.118384000001</v>
      </c>
      <c r="Z13" s="133">
        <f t="shared" si="0"/>
        <v>19191.956174711915</v>
      </c>
      <c r="AA13" s="133">
        <f t="shared" si="0"/>
        <v>24194.519593773974</v>
      </c>
      <c r="AB13" s="128">
        <f>SUM(X13:AA13)</f>
        <v>79042.594152485894</v>
      </c>
      <c r="AC13" s="133">
        <f t="shared" ref="AC13:AF13" si="1">+AC40</f>
        <v>21579.22616308798</v>
      </c>
      <c r="AD13" s="133">
        <f t="shared" si="1"/>
        <v>22274.969636211845</v>
      </c>
      <c r="AE13" s="133">
        <f t="shared" si="1"/>
        <v>24774.452952878106</v>
      </c>
      <c r="AF13" s="133">
        <f t="shared" si="1"/>
        <v>32380.750067312259</v>
      </c>
      <c r="AG13" s="128">
        <f>SUM(AC13:AF13)</f>
        <v>101009.39881949018</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3763.0148606399998</v>
      </c>
      <c r="Z14" s="135">
        <f>+Z13*(1-Z69)</f>
        <v>3934.351015815942</v>
      </c>
      <c r="AA14" s="135">
        <f>+AA13*(1-AA69)</f>
        <v>4596.958722817054</v>
      </c>
      <c r="AB14" s="129">
        <f>SUM(X14:AA14)</f>
        <v>15753.324599272997</v>
      </c>
      <c r="AC14" s="34">
        <f>+AC13*(1-AC69)</f>
        <v>4207.9491018021554</v>
      </c>
      <c r="AD14" s="34">
        <f>+AD13*(1-AD69)</f>
        <v>4120.8693826991921</v>
      </c>
      <c r="AE14" s="34">
        <f>+AE13*(1-AE69)</f>
        <v>4583.2737962824513</v>
      </c>
      <c r="AF14" s="34">
        <f>+AF13*(1-AF69)</f>
        <v>5990.4387624527699</v>
      </c>
      <c r="AG14" s="129">
        <f>SUM(AC14:AF14)</f>
        <v>18902.53104323657</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14156.103523360001</v>
      </c>
      <c r="Z15" s="40">
        <f t="shared" ref="Z15" si="13">+Z13-Z14</f>
        <v>15257.605158895973</v>
      </c>
      <c r="AA15" s="40">
        <f t="shared" ref="AA15" si="14">+AA13-AA14</f>
        <v>19597.560870956921</v>
      </c>
      <c r="AB15" s="130">
        <f>+AB13-AB14</f>
        <v>63289.2695532129</v>
      </c>
      <c r="AC15" s="40">
        <f>+AC13-AC14</f>
        <v>17371.277061285826</v>
      </c>
      <c r="AD15" s="40">
        <f t="shared" ref="AD15" si="15">+AD13-AD14</f>
        <v>18154.100253512654</v>
      </c>
      <c r="AE15" s="40">
        <f t="shared" ref="AE15" si="16">+AE13-AE14</f>
        <v>20191.179156595656</v>
      </c>
      <c r="AF15" s="40">
        <f t="shared" ref="AF15" si="17">+AF13-AF14</f>
        <v>26390.31130485949</v>
      </c>
      <c r="AG15" s="130">
        <f>+AG13-AG14</f>
        <v>82106.86777625361</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4210.9928202399997</v>
      </c>
      <c r="Z17" s="29">
        <f>+Z13*Z70</f>
        <v>4414.1499201837405</v>
      </c>
      <c r="AA17" s="29">
        <f>+AA13*AA70</f>
        <v>5322.7943106302746</v>
      </c>
      <c r="AB17" s="128">
        <f t="shared" ref="AB17:AB19" si="22">SUM(X17:AA17)</f>
        <v>17962.937051054014</v>
      </c>
      <c r="AC17" s="29">
        <f>+AC13*AC70</f>
        <v>5071.1181483256751</v>
      </c>
      <c r="AD17" s="29">
        <f>+AD13*AD70</f>
        <v>4900.4933199666057</v>
      </c>
      <c r="AE17" s="29">
        <f>+AE13*AE70</f>
        <v>5450.3796496331834</v>
      </c>
      <c r="AF17" s="29">
        <f>+AF13*AF70</f>
        <v>7123.7650148086968</v>
      </c>
      <c r="AG17" s="128">
        <f t="shared" ref="AG17:AG19" si="23">SUM(AC17:AF17)</f>
        <v>22545.756132734161</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3046.2501252800002</v>
      </c>
      <c r="Z18" s="29">
        <f>+Z13*Z71</f>
        <v>3166.6727688274659</v>
      </c>
      <c r="AA18" s="29">
        <f>+AA13*AA71</f>
        <v>3629.1779390660959</v>
      </c>
      <c r="AB18" s="128">
        <f t="shared" si="22"/>
        <v>12629.100833173561</v>
      </c>
      <c r="AC18" s="29">
        <f>+AC13*AC71</f>
        <v>3538.9930907464291</v>
      </c>
      <c r="AD18" s="29">
        <f>+AD13*AD71</f>
        <v>3563.9951417938951</v>
      </c>
      <c r="AE18" s="29">
        <f>+AE13*AE71</f>
        <v>3963.9124724604972</v>
      </c>
      <c r="AF18" s="29">
        <f>+AF13*AF71</f>
        <v>5180.9200107699617</v>
      </c>
      <c r="AG18" s="128">
        <f t="shared" si="23"/>
        <v>16247.820715770784</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1971.1030222400002</v>
      </c>
      <c r="Z19" s="34">
        <f>Z13*Z72</f>
        <v>1708.0840995493604</v>
      </c>
      <c r="AA19" s="34">
        <f>AA13*AA72</f>
        <v>1911.3670479081438</v>
      </c>
      <c r="AB19" s="129">
        <f t="shared" si="22"/>
        <v>7173.5541696975042</v>
      </c>
      <c r="AC19" s="34">
        <f>AC13*AC72</f>
        <v>1942.1303546779181</v>
      </c>
      <c r="AD19" s="34">
        <f>AD13*AD72</f>
        <v>1781.9975708969475</v>
      </c>
      <c r="AE19" s="34">
        <f>AE13*AE72</f>
        <v>1981.9562362302486</v>
      </c>
      <c r="AF19" s="34">
        <f>AF13*AF72</f>
        <v>2396.1755049811072</v>
      </c>
      <c r="AG19" s="129">
        <f t="shared" si="23"/>
        <v>8102.2596667862217</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9228.3459677600003</v>
      </c>
      <c r="Z20" s="37">
        <f t="shared" si="24"/>
        <v>9288.9067885605673</v>
      </c>
      <c r="AA20" s="37">
        <f t="shared" si="24"/>
        <v>10863.339297604514</v>
      </c>
      <c r="AB20" s="131">
        <f t="shared" si="24"/>
        <v>37765.59205392508</v>
      </c>
      <c r="AC20" s="37">
        <f t="shared" si="24"/>
        <v>10552.241593750023</v>
      </c>
      <c r="AD20" s="37">
        <f t="shared" si="24"/>
        <v>10246.486032657447</v>
      </c>
      <c r="AE20" s="37">
        <f t="shared" si="24"/>
        <v>11396.24835832393</v>
      </c>
      <c r="AF20" s="37">
        <f t="shared" si="24"/>
        <v>14700.860530559767</v>
      </c>
      <c r="AG20" s="131">
        <f t="shared" si="24"/>
        <v>46895.836515291172</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4927.7575556000011</v>
      </c>
      <c r="Z21" s="40">
        <f t="shared" ref="Z21" si="33">Z15-Z20</f>
        <v>5968.6983703354053</v>
      </c>
      <c r="AA21" s="40">
        <f>AA15-AA20</f>
        <v>8734.2215733524063</v>
      </c>
      <c r="AB21" s="130">
        <f>AB15-AB20</f>
        <v>25523.67749928782</v>
      </c>
      <c r="AC21" s="40">
        <f>AC15-AC20</f>
        <v>6819.035467535803</v>
      </c>
      <c r="AD21" s="40">
        <f t="shared" ref="AD21" si="34">AD15-AD20</f>
        <v>7907.6142208552064</v>
      </c>
      <c r="AE21" s="40">
        <f t="shared" ref="AE21" si="35">AE15-AE20</f>
        <v>8794.9307982717255</v>
      </c>
      <c r="AF21" s="40">
        <f>AF15-AF20</f>
        <v>11689.450774299723</v>
      </c>
      <c r="AG21" s="130">
        <f>AG15-AG20</f>
        <v>35211.031260962438</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196" t="s">
        <v>23</v>
      </c>
      <c r="C23" s="197"/>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5085.0075556000011</v>
      </c>
      <c r="Z23" s="40">
        <f t="shared" si="42"/>
        <v>6113.7608703354053</v>
      </c>
      <c r="AA23" s="40">
        <f t="shared" si="42"/>
        <v>8879.5496983524063</v>
      </c>
      <c r="AB23" s="130">
        <f t="shared" si="42"/>
        <v>25939.31812428782</v>
      </c>
      <c r="AC23" s="40">
        <f t="shared" si="42"/>
        <v>6922.945623785803</v>
      </c>
      <c r="AD23" s="40">
        <f t="shared" si="42"/>
        <v>8045.5019161677064</v>
      </c>
      <c r="AE23" s="40">
        <f t="shared" si="42"/>
        <v>8927.9779174123505</v>
      </c>
      <c r="AF23" s="40">
        <f t="shared" si="42"/>
        <v>11819.494048225504</v>
      </c>
      <c r="AG23" s="130">
        <f t="shared" si="42"/>
        <v>35715.919505591344</v>
      </c>
    </row>
    <row r="24" spans="1:33" ht="16.2" x14ac:dyDescent="0.45">
      <c r="A24" s="138"/>
      <c r="B24" s="190" t="s">
        <v>7</v>
      </c>
      <c r="C24" s="19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-915.30136000800019</v>
      </c>
      <c r="Z24" s="34">
        <f>+Z23*-Z76</f>
        <v>-1100.4769566603729</v>
      </c>
      <c r="AA24" s="34">
        <f>+AA23*-AA76</f>
        <v>-1598.318945703433</v>
      </c>
      <c r="AB24" s="129">
        <f>SUM(X24:AA24)</f>
        <v>-4573.0972623718062</v>
      </c>
      <c r="AC24" s="34">
        <f>+AC23*-AC76</f>
        <v>-1217.7875949392262</v>
      </c>
      <c r="AD24" s="34">
        <f>+AD23*-AD76</f>
        <v>-1459.8106056211595</v>
      </c>
      <c r="AE24" s="34">
        <f>+AE23*-AE76</f>
        <v>-1623.1545706431205</v>
      </c>
      <c r="AF24" s="34">
        <f>+AF23*-AF76</f>
        <v>-2154.1825291406826</v>
      </c>
      <c r="AG24" s="129">
        <f>SUM(AC24:AF24)</f>
        <v>-6454.9353003441884</v>
      </c>
    </row>
    <row r="25" spans="1:33" x14ac:dyDescent="0.3">
      <c r="A25" s="145"/>
      <c r="B25" s="196" t="s">
        <v>8</v>
      </c>
      <c r="C25" s="197"/>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4169.7061955920008</v>
      </c>
      <c r="Z25" s="40">
        <f t="shared" si="43"/>
        <v>5013.2839136750326</v>
      </c>
      <c r="AA25" s="40">
        <f t="shared" si="43"/>
        <v>7281.2307526489731</v>
      </c>
      <c r="AB25" s="130">
        <f t="shared" si="43"/>
        <v>21366.220861916016</v>
      </c>
      <c r="AC25" s="40">
        <f t="shared" si="43"/>
        <v>5705.1580288465766</v>
      </c>
      <c r="AD25" s="40">
        <f t="shared" si="43"/>
        <v>6585.6913105465464</v>
      </c>
      <c r="AE25" s="40">
        <f t="shared" si="43"/>
        <v>7304.8233467692298</v>
      </c>
      <c r="AF25" s="40">
        <f t="shared" si="43"/>
        <v>9665.3115190848221</v>
      </c>
      <c r="AG25" s="130">
        <f t="shared" si="43"/>
        <v>29260.984205247158</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4169.7061955920008</v>
      </c>
      <c r="Z27" s="40">
        <f t="shared" ref="Z27" si="58">+Z25-Z26</f>
        <v>5013.2839136750326</v>
      </c>
      <c r="AA27" s="40">
        <f t="shared" ref="AA27" si="59">+AA25-AA26</f>
        <v>7281.2307526489731</v>
      </c>
      <c r="AB27" s="130">
        <f t="shared" ref="AB27" si="60">+AB25-AB26</f>
        <v>21366.220861916016</v>
      </c>
      <c r="AC27" s="40">
        <f t="shared" ref="AC27" si="61">+AC25-AC26</f>
        <v>5705.1580288465766</v>
      </c>
      <c r="AD27" s="40">
        <f t="shared" ref="AD27" si="62">+AD25-AD26</f>
        <v>6585.6913105465464</v>
      </c>
      <c r="AE27" s="40">
        <f t="shared" ref="AE27" si="63">+AE25-AE26</f>
        <v>7304.8233467692298</v>
      </c>
      <c r="AF27" s="40">
        <f t="shared" ref="AF27" si="64">+AF25-AF26</f>
        <v>9665.3115190848221</v>
      </c>
      <c r="AG27" s="130">
        <f t="shared" ref="AG27" si="65">+AG25-AG26</f>
        <v>29260.984205247158</v>
      </c>
    </row>
    <row r="28" spans="1:33" x14ac:dyDescent="0.3">
      <c r="A28" s="138"/>
      <c r="B28" s="190" t="s">
        <v>0</v>
      </c>
      <c r="C28" s="19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2846.9478234007106</v>
      </c>
      <c r="Z28" s="29">
        <f>Y28*(1+Z78)-Z82</f>
        <v>2845.8057855279981</v>
      </c>
      <c r="AA28" s="29">
        <f>Z28*(1+AA78)-AA82</f>
        <v>2845.7931640491543</v>
      </c>
      <c r="AB28" s="128">
        <f>(X28*X25/AB25)+(Y28*Y25/AB25)+(Z28*Z25/AB25)+(AA28*AA25/AB25)</f>
        <v>2847.2160537279765</v>
      </c>
      <c r="AC28" s="29">
        <f>AA28*(1+AC78)-AC82</f>
        <v>2845.4411547099648</v>
      </c>
      <c r="AD28" s="29">
        <f>AC28*(1+AD78)-AD82</f>
        <v>2845.3854015448287</v>
      </c>
      <c r="AE28" s="29">
        <f>AD28*(1+AE78)-AE82</f>
        <v>2845.6307023657914</v>
      </c>
      <c r="AF28" s="29">
        <f>AE28*(1+AF78)-AF82</f>
        <v>2845.8810955494255</v>
      </c>
      <c r="AG28" s="128">
        <f>(AC28*AC25/AG25)+(AD28*AD25/AG25)+(AE28*AE25/AG25)+(AF28*AF25/AG25)</f>
        <v>2845.6212444920743</v>
      </c>
    </row>
    <row r="29" spans="1:33" ht="15.75" customHeight="1" x14ac:dyDescent="0.3">
      <c r="A29" s="138"/>
      <c r="B29" s="190" t="s">
        <v>1</v>
      </c>
      <c r="C29" s="19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2864.9496459956972</v>
      </c>
      <c r="Z29" s="29">
        <f>Y29*(1+Z79)-Z82</f>
        <v>2863.3110175624533</v>
      </c>
      <c r="AA29" s="29">
        <f>Z29*(1+AA79)-AA82</f>
        <v>2862.6780100616611</v>
      </c>
      <c r="AB29" s="128">
        <f>(X29*X25/AB25)+(Y29*Y25/AB25)+(Z29*Z25/AB25)+(AA29*AA25/AB25)</f>
        <v>2864.4908667047371</v>
      </c>
      <c r="AC29" s="29">
        <f>AA29*(1+AC79)-AC82</f>
        <v>2860.0570284517912</v>
      </c>
      <c r="AD29" s="29">
        <f>AC29*(1+AD79)-AD82</f>
        <v>2859.4007696999342</v>
      </c>
      <c r="AE29" s="29">
        <f>AD29*(1+AE79)-AE82</f>
        <v>2858.6459161901266</v>
      </c>
      <c r="AF29" s="29">
        <f>AE29*(1+AF79)-AF82</f>
        <v>2857.7703640891423</v>
      </c>
      <c r="AG29" s="128">
        <f>(AC29*AC25/AG25)+(AD29*AD25/AG25)+(AE29*AE25/AG25)+(AF29*AF25/AG25)</f>
        <v>2858.8017334657993</v>
      </c>
    </row>
    <row r="30" spans="1:33" ht="15.75" customHeight="1" x14ac:dyDescent="0.3">
      <c r="A30" s="138"/>
      <c r="B30" s="200" t="s">
        <v>9</v>
      </c>
      <c r="C30" s="201"/>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136">
        <f t="shared" si="66"/>
        <v>1.4646233279439735</v>
      </c>
      <c r="Z30" s="136">
        <f t="shared" si="66"/>
        <v>1.7616395114415337</v>
      </c>
      <c r="AA30" s="136">
        <f t="shared" si="66"/>
        <v>2.558594505262227</v>
      </c>
      <c r="AB30" s="132">
        <f t="shared" si="66"/>
        <v>7.5042499264993774</v>
      </c>
      <c r="AC30" s="136">
        <f t="shared" si="66"/>
        <v>2.0050170496068831</v>
      </c>
      <c r="AD30" s="136">
        <f t="shared" si="66"/>
        <v>2.3145164472169624</v>
      </c>
      <c r="AE30" s="136">
        <f t="shared" si="66"/>
        <v>2.5670313933203524</v>
      </c>
      <c r="AF30" s="136">
        <f t="shared" si="66"/>
        <v>3.3962457300834061</v>
      </c>
      <c r="AG30" s="132">
        <f t="shared" si="66"/>
        <v>10.28281056795036</v>
      </c>
    </row>
    <row r="31" spans="1:33" x14ac:dyDescent="0.3">
      <c r="A31" s="138"/>
      <c r="B31" s="198" t="s">
        <v>10</v>
      </c>
      <c r="C31" s="199"/>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1.4554204125088008</v>
      </c>
      <c r="Z31" s="137">
        <f t="shared" si="67"/>
        <v>1.7508694944158942</v>
      </c>
      <c r="AA31" s="137">
        <f t="shared" si="67"/>
        <v>2.5435032256708947</v>
      </c>
      <c r="AB31" s="158">
        <f t="shared" si="67"/>
        <v>7.4589942353334724</v>
      </c>
      <c r="AC31" s="137">
        <f t="shared" si="67"/>
        <v>1.9947707238323489</v>
      </c>
      <c r="AD31" s="137">
        <f t="shared" si="67"/>
        <v>2.3031718324807087</v>
      </c>
      <c r="AE31" s="137">
        <f t="shared" si="67"/>
        <v>2.5553438799110757</v>
      </c>
      <c r="AF31" s="137">
        <f t="shared" si="67"/>
        <v>3.3821162261809126</v>
      </c>
      <c r="AG31" s="158">
        <f t="shared" si="67"/>
        <v>10.235401728882159</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5" t="s">
        <v>25</v>
      </c>
      <c r="C33" s="18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202"/>
      <c r="C34" s="20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5" t="s">
        <v>146</v>
      </c>
      <c r="C35" s="18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8177.0540220000003</v>
      </c>
      <c r="Z36" s="64">
        <f>+((Z42+Y42)/2)*Z52</f>
        <v>8603.0640149999981</v>
      </c>
      <c r="AA36" s="64">
        <f>+((AA42+Z42)/2)*AA52</f>
        <v>11391.638241928225</v>
      </c>
      <c r="AB36" s="19"/>
      <c r="AC36" s="64">
        <f>+((AC42+AA42)/2)*AC52</f>
        <v>10005.692503296759</v>
      </c>
      <c r="AD36" s="64">
        <f>+((AD42+AC42)/2)*AD52</f>
        <v>9623.4501696812385</v>
      </c>
      <c r="AE36" s="64">
        <f>+((AE42+AD42)/2)*AE52</f>
        <v>10466.406118729461</v>
      </c>
      <c r="AF36" s="64">
        <f>+((AF42+AE42)/2)*AF52</f>
        <v>14548.379983645838</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4421.5342499999997</v>
      </c>
      <c r="Z37" s="64">
        <f t="shared" ref="Z37:AA37" si="68">+((Z44+Y44)/2)*Z54</f>
        <v>4415.8905720000002</v>
      </c>
      <c r="AA37" s="64">
        <f t="shared" si="68"/>
        <v>5747.9282194370389</v>
      </c>
      <c r="AB37" s="19"/>
      <c r="AC37" s="64">
        <f>+((AC44+AA44)/2)*AC54</f>
        <v>5121.2436203497573</v>
      </c>
      <c r="AD37" s="64">
        <f>+((AD44+AC44)/2)*AD54</f>
        <v>5440.5116933151812</v>
      </c>
      <c r="AE37" s="64">
        <f t="shared" ref="AE37:AF37" si="69">+((AE44+AD44)/2)*AE54</f>
        <v>5602.4298940869267</v>
      </c>
      <c r="AF37" s="64">
        <f t="shared" si="69"/>
        <v>7574.8935290393247</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3570.9992320000006</v>
      </c>
      <c r="Z38" s="64">
        <f t="shared" ref="Z38:AA38" si="70">+((Z46+Y46)/2)*Z56</f>
        <v>4224.0469679999997</v>
      </c>
      <c r="AA38" s="64">
        <f t="shared" si="70"/>
        <v>4796.1588401999998</v>
      </c>
      <c r="AB38" s="19"/>
      <c r="AC38" s="64">
        <f>+((AC46+AA46)/2)*AC56</f>
        <v>4442.1105652761544</v>
      </c>
      <c r="AD38" s="64">
        <f>+((AD46+AC46)/2)*AD56</f>
        <v>5034.7328740896328</v>
      </c>
      <c r="AE38" s="64">
        <f t="shared" ref="AE38:AF38" si="71">+((AE46+AD46)/2)*AE56</f>
        <v>6192.9124028732185</v>
      </c>
      <c r="AF38" s="64">
        <f t="shared" si="71"/>
        <v>7238.2186014171166</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1749.53088</v>
      </c>
      <c r="Z39" s="99">
        <f t="shared" ref="Z39:AA39" si="72">+((Z48+Y48)/2)*Z58</f>
        <v>1948.9546197119171</v>
      </c>
      <c r="AA39" s="99">
        <f t="shared" si="72"/>
        <v>2258.7942922087127</v>
      </c>
      <c r="AB39" s="19"/>
      <c r="AC39" s="99">
        <f>+((AC48+AA48)/2)*AC58</f>
        <v>2010.1794741653098</v>
      </c>
      <c r="AD39" s="99">
        <f>+((AD48+AC48)/2)*AD58</f>
        <v>2176.2748991257918</v>
      </c>
      <c r="AE39" s="99">
        <f t="shared" ref="AE39:AF39" si="73">+((AE48+AD48)/2)*AE58</f>
        <v>2512.7045371885015</v>
      </c>
      <c r="AF39" s="99">
        <f t="shared" si="73"/>
        <v>3019.2579532099812</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17919.118384000001</v>
      </c>
      <c r="Z40" s="100">
        <f t="shared" ref="Z40:AA40" si="81">SUM(Z36:Z39)</f>
        <v>19191.956174711915</v>
      </c>
      <c r="AA40" s="100">
        <f t="shared" si="81"/>
        <v>24194.519593773974</v>
      </c>
      <c r="AB40" s="91"/>
      <c r="AC40" s="100">
        <f>SUM(AC36:AC39)</f>
        <v>21579.22616308798</v>
      </c>
      <c r="AD40" s="100">
        <f>SUM(AD36:AD39)</f>
        <v>22274.969636211845</v>
      </c>
      <c r="AE40" s="100">
        <f t="shared" ref="AE40:AF40" si="82">SUM(AE36:AE39)</f>
        <v>24774.452952878106</v>
      </c>
      <c r="AF40" s="100">
        <f t="shared" si="82"/>
        <v>32380.750067312259</v>
      </c>
      <c r="AG40" s="91"/>
    </row>
    <row r="41" spans="1:33" ht="17.399999999999999" x14ac:dyDescent="0.45">
      <c r="A41" s="138"/>
      <c r="B41" s="188" t="s">
        <v>86</v>
      </c>
      <c r="C41" s="18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253.76000000000002</v>
      </c>
      <c r="Z42" s="29">
        <f t="shared" ref="Z42" si="84">U42*(1+Z43)</f>
        <v>254.41</v>
      </c>
      <c r="AA42" s="29">
        <f t="shared" ref="AA42" si="85">V42*(1+AA43)</f>
        <v>257.92</v>
      </c>
      <c r="AB42" s="19"/>
      <c r="AC42" s="29">
        <f>X42*(1+AC43)</f>
        <v>260.59000000000003</v>
      </c>
      <c r="AD42" s="29">
        <f t="shared" ref="AD42" si="86">Y42*(1+AD43)</f>
        <v>258.83520000000004</v>
      </c>
      <c r="AE42" s="29">
        <f t="shared" ref="AE42" si="87">Z42*(1+AE43)</f>
        <v>259.4982</v>
      </c>
      <c r="AF42" s="29">
        <f t="shared" ref="AF42" si="88">AA42*(1+AF43)</f>
        <v>265.6576</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0.04</v>
      </c>
      <c r="Z43" s="59">
        <f>3%</f>
        <v>0.03</v>
      </c>
      <c r="AA43" s="59">
        <v>0.04</v>
      </c>
      <c r="AB43" s="19"/>
      <c r="AC43" s="59">
        <v>0.03</v>
      </c>
      <c r="AD43" s="59">
        <v>0.02</v>
      </c>
      <c r="AE43" s="59">
        <v>0.02</v>
      </c>
      <c r="AF43" s="59">
        <v>0.03</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404.25</v>
      </c>
      <c r="Z44" s="29">
        <f t="shared" ref="Z44" si="90">U44*(1+Z45)</f>
        <v>398.61</v>
      </c>
      <c r="AA44" s="29">
        <f t="shared" ref="AA44" si="91">V44*(1+AA45)</f>
        <v>405.82</v>
      </c>
      <c r="AB44" s="19"/>
      <c r="AC44" s="29">
        <f>X44*(1+AC45)</f>
        <v>422.98010416666665</v>
      </c>
      <c r="AD44" s="29">
        <f t="shared" ref="AD44" si="92">Y44*(1+AD45)</f>
        <v>419.59360351562503</v>
      </c>
      <c r="AE44" s="29">
        <f t="shared" ref="AE44" si="93">Z44*(1+AE45)</f>
        <v>412.53929150390627</v>
      </c>
      <c r="AF44" s="29">
        <f t="shared" ref="AF44" si="94">AA44*(1+AF45)</f>
        <v>420.50290314127602</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0.05</v>
      </c>
      <c r="Z45" s="59">
        <v>0.03</v>
      </c>
      <c r="AA45" s="59">
        <v>0.03</v>
      </c>
      <c r="AB45" s="19"/>
      <c r="AC45" s="59">
        <f>AVERAGE(X45,Y45,Z45,AA45)</f>
        <v>4.1822916666666689E-2</v>
      </c>
      <c r="AD45" s="59">
        <f>AVERAGE(Y45,Z45,AA45,AC45)</f>
        <v>3.7955729166666674E-2</v>
      </c>
      <c r="AE45" s="59">
        <f>AVERAGE(Z45,AA45,AC45,AD45)</f>
        <v>3.4944661458333338E-2</v>
      </c>
      <c r="AF45" s="59">
        <f>AVERAGE(AA45,AC45,AD45,AE45)</f>
        <v>3.6180826822916672E-2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1123.3600000000001</v>
      </c>
      <c r="Z46" s="29">
        <f t="shared" ref="Z46" si="96">U46*(1+Z47)</f>
        <v>1124.43</v>
      </c>
      <c r="AA46" s="29">
        <f t="shared" ref="AA46" si="97">V46*(1+AA47)</f>
        <v>1152.6240000000003</v>
      </c>
      <c r="AB46" s="22"/>
      <c r="AC46" s="29">
        <f>X46*(1+AC47)</f>
        <v>1217.1017380224262</v>
      </c>
      <c r="AD46" s="29">
        <f t="shared" ref="AD46" si="98">Y46*(1+AD47)</f>
        <v>1250.7328205912336</v>
      </c>
      <c r="AE46" s="29">
        <f t="shared" ref="AE46" si="99">Z46*(1+AE47)</f>
        <v>1250.0647789468655</v>
      </c>
      <c r="AF46" s="29">
        <f t="shared" ref="AF46" si="100">AA46*(1+AF47)</f>
        <v>1281.9080276337922</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0.12</v>
      </c>
      <c r="Z47" s="59">
        <v>0.11</v>
      </c>
      <c r="AA47" s="59">
        <v>0.11</v>
      </c>
      <c r="AB47" s="19"/>
      <c r="AC47" s="59">
        <f>AVERAGE(X47,Y47,Z47,AA47)</f>
        <v>0.11354230377166155</v>
      </c>
      <c r="AD47" s="59">
        <f>AVERAGE(Y47,Z47,AA47,AC47)</f>
        <v>0.11338557594291537</v>
      </c>
      <c r="AE47" s="59">
        <f>AVERAGE(Z47,AA47,AC47,AD47)</f>
        <v>0.11173196992864423</v>
      </c>
      <c r="AF47" s="59">
        <f>AVERAGE(AA47,AC47,AD47,AE47)</f>
        <v>0.11216496241080529</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860.2</v>
      </c>
      <c r="Z48" s="29">
        <f t="shared" ref="Z48" si="102">U48*(1+Z49)</f>
        <v>871.69650602355068</v>
      </c>
      <c r="AA48" s="29">
        <f t="shared" ref="AA48" si="103">V48*(1+AA49)</f>
        <v>882.79200000000003</v>
      </c>
      <c r="AB48" s="19"/>
      <c r="AC48" s="29">
        <f>X48*(1+AC49)</f>
        <v>930.77620585937507</v>
      </c>
      <c r="AD48" s="29">
        <f t="shared" ref="AD48" si="104">Y48*(1+AD49)</f>
        <v>937.75723343098969</v>
      </c>
      <c r="AE48" s="29">
        <f t="shared" ref="AE48" si="105">Z48*(1+AE49)</f>
        <v>948.14631814430368</v>
      </c>
      <c r="AF48" s="29">
        <f t="shared" ref="AF48" si="106">AA48*(1+AF49)</f>
        <v>960.39124009795137</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v>
      </c>
      <c r="Z49" s="59">
        <f>AVERAGE(U49,V49,X49,Y49)-1%</f>
        <v>8.6903374094202887E-2</v>
      </c>
      <c r="AA49" s="59">
        <v>0.08</v>
      </c>
      <c r="AB49" s="19"/>
      <c r="AC49" s="59">
        <f>AVERAGE(X49,Y49,Z49,AA49)</f>
        <v>9.3744072690217409E-2</v>
      </c>
      <c r="AD49" s="59">
        <f>AVERAGE(Y49,Z49,AA49,AC49)</f>
        <v>9.0161861696105072E-2</v>
      </c>
      <c r="AE49" s="59">
        <f>AVERAGE(Z49,AA49,AC49,AD49)</f>
        <v>8.7702327120131346E-2</v>
      </c>
      <c r="AF49" s="59">
        <f>AVERAGE(AA49,AC49,AD49,AE49)</f>
        <v>8.7902065376613464E-2</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2641.57</v>
      </c>
      <c r="Z50" s="40">
        <f t="shared" si="111"/>
        <v>2649.1465060235505</v>
      </c>
      <c r="AA50" s="40">
        <f t="shared" si="111"/>
        <v>2699.1560000000004</v>
      </c>
      <c r="AB50" s="95"/>
      <c r="AC50" s="40">
        <f>+AC42+AC44+AC46+AC48</f>
        <v>2831.4480480484681</v>
      </c>
      <c r="AD50" s="40">
        <f t="shared" ref="AD50:AF50" si="112">+AD42+AD44+AD46+AD48</f>
        <v>2866.9188575378485</v>
      </c>
      <c r="AE50" s="40">
        <f t="shared" si="112"/>
        <v>2870.2485885950755</v>
      </c>
      <c r="AF50" s="40">
        <f t="shared" si="112"/>
        <v>2928.4597708730198</v>
      </c>
      <c r="AG50" s="95"/>
    </row>
    <row r="51" spans="1:33" ht="17.399999999999999" x14ac:dyDescent="0.45">
      <c r="A51" s="138"/>
      <c r="B51" s="185" t="s">
        <v>87</v>
      </c>
      <c r="C51" s="186"/>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32.271900000000002</v>
      </c>
      <c r="Z52" s="45">
        <f t="shared" ref="Z52" si="114">U52*(1+Z53)</f>
        <v>33.858999999999995</v>
      </c>
      <c r="AA52" s="45">
        <f t="shared" ref="AA52" si="115">V52*(1+AA53)</f>
        <v>44.469924626425254</v>
      </c>
      <c r="AB52" s="19"/>
      <c r="AC52" s="45">
        <f>X52*(1+AC53)</f>
        <v>38.594019414463595</v>
      </c>
      <c r="AD52" s="45">
        <f t="shared" ref="AD52" si="116">Y52*(1+AD53)</f>
        <v>37.054229058125159</v>
      </c>
      <c r="AE52" s="45">
        <f t="shared" ref="AE52" si="117">Z52*(1+AE53)</f>
        <v>40.38484156617907</v>
      </c>
      <c r="AF52" s="45">
        <f t="shared" ref="AF52" si="118">AA52*(1+AF53)</f>
        <v>55.405957560197713</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-0.03</v>
      </c>
      <c r="Z53" s="59">
        <v>-0.02</v>
      </c>
      <c r="AA53" s="59">
        <f>AVERAGE(V53,X53,Y53,Z53)+0.572122632217421%</f>
        <v>7.3893374219397637E-2</v>
      </c>
      <c r="AB53" s="19"/>
      <c r="AC53" s="59">
        <f>AVERAGE(X53,Y53,Z53,AA53)+8.94685331393137%</f>
        <v>0.12914041587078989</v>
      </c>
      <c r="AD53" s="59">
        <f>AVERAGE(Y53,Z53,AA53,AC53)+10.9930195170482%</f>
        <v>0.14818864269302889</v>
      </c>
      <c r="AE53" s="59">
        <f>AVERAGE(Z53,AA53,AC53,AD53)+10.9930195170482%</f>
        <v>0.1927358033662861</v>
      </c>
      <c r="AF53" s="59">
        <f>AVERAGE(AA53,AC53,AD53,AE53)+10.9930195170482%</f>
        <v>0.24591975420785764</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10.914</v>
      </c>
      <c r="Z54" s="45">
        <f t="shared" ref="Z54" si="125">U54*(1+Z55)</f>
        <v>11.000400000000001</v>
      </c>
      <c r="AA54" s="45">
        <f t="shared" ref="AA54" si="126">V54*(1+AA55)</f>
        <v>14.290685875556701</v>
      </c>
      <c r="AB54" s="19"/>
      <c r="AC54" s="45">
        <f>X54*(1+AC55)</f>
        <v>12.358211816343852</v>
      </c>
      <c r="AD54" s="45">
        <f t="shared" ref="AD54" si="127">Y54*(1+AD55)</f>
        <v>12.914031481662679</v>
      </c>
      <c r="AE54" s="45">
        <f t="shared" ref="AE54" si="128">Z54*(1+AE55)</f>
        <v>13.465228757614321</v>
      </c>
      <c r="AF54" s="45">
        <f t="shared" ref="AF54" si="129">AA54*(1+AF55)</f>
        <v>18.18609808178012</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0.02</v>
      </c>
      <c r="Z55" s="59">
        <v>0.03</v>
      </c>
      <c r="AA55" s="59">
        <f>AVERAGE(V55,X55,Y55,Z55)-1%</f>
        <v>8.1808166204140789E-2</v>
      </c>
      <c r="AB55" s="19"/>
      <c r="AC55" s="59">
        <f>AVERAGE(X55,Y55,Z55,AA55)+10%</f>
        <v>0.16148607296464773</v>
      </c>
      <c r="AD55" s="59">
        <f>AVERAGE(Y55,Z55,AA55,AC55)+10.9930195170482%</f>
        <v>0.18325375496267912</v>
      </c>
      <c r="AE55" s="59">
        <f>AVERAGE(Z55,AA55,AC55,AD55)+10.9930195170482%</f>
        <v>0.2240671937033489</v>
      </c>
      <c r="AF55" s="59">
        <f>AVERAGE(AA55,AC55,AD55,AE55)+10.9930195170482%</f>
        <v>0.27258399212918616</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3.2224000000000004</v>
      </c>
      <c r="Z56" s="45">
        <f t="shared" ref="Z56" si="138">U56*(1+Z57)</f>
        <v>3.7584</v>
      </c>
      <c r="AA56" s="45">
        <f t="shared" ref="AA56" si="139">V56*(1+AA57)</f>
        <v>4.2125999999999992</v>
      </c>
      <c r="AB56" s="19"/>
      <c r="AC56" s="45">
        <f>X56*(1+AC57)</f>
        <v>3.7490503597122302</v>
      </c>
      <c r="AD56" s="45">
        <f t="shared" ref="AD56" si="140">Y56*(1+AD57)</f>
        <v>4.0802839530036925</v>
      </c>
      <c r="AE56" s="45">
        <f t="shared" ref="AE56" si="141">Z56*(1+AE57)</f>
        <v>4.9527497979181181</v>
      </c>
      <c r="AF56" s="45">
        <f t="shared" ref="AF56" si="142">AA56*(1+AF57)</f>
        <v>5.7174536650668717</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0.06</v>
      </c>
      <c r="Z57" s="59">
        <v>0.16</v>
      </c>
      <c r="AA57" s="59">
        <v>0.18</v>
      </c>
      <c r="AB57" s="19"/>
      <c r="AC57" s="59">
        <f>AVERAGE(X57,Y57,Z57,AA57)+10%</f>
        <v>0.22517985611510791</v>
      </c>
      <c r="AD57" s="59">
        <f>AVERAGE(Y57,Z57,AA57,AC57)+10.9930195170482%</f>
        <v>0.26622515919925899</v>
      </c>
      <c r="AE57" s="59">
        <f>AVERAGE(Z57,AA57,AC57,AD57)+10.9930195170482%</f>
        <v>0.31778144899907368</v>
      </c>
      <c r="AF57" s="59">
        <f>AVERAGE(AA57,AC57,AD57,AE57)+10.9930195170482%</f>
        <v>0.35722681124884215</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2.0448</v>
      </c>
      <c r="Z58" s="45">
        <f t="shared" ref="Z58" si="151">U58*(1+Z59)</f>
        <v>2.2506594509931008</v>
      </c>
      <c r="AA58" s="45">
        <f t="shared" ref="AA58" si="152">V58*(1+AA59)</f>
        <v>2.5748749957081714</v>
      </c>
      <c r="AB58" s="19"/>
      <c r="AC58" s="45">
        <f>X58*(1+AC59)</f>
        <v>2.2168225795652043</v>
      </c>
      <c r="AD58" s="45">
        <f t="shared" ref="AD58" si="153">Y58*(1+AD59)</f>
        <v>2.3293935804031443</v>
      </c>
      <c r="AE58" s="45">
        <f t="shared" ref="AE58" si="154">Z58*(1+AE59)</f>
        <v>2.6647222071241572</v>
      </c>
      <c r="AF58" s="45">
        <f t="shared" ref="AF58" si="155">AA58*(1+AF59)</f>
        <v>3.1639492135441012</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-0.04</v>
      </c>
      <c r="Z59" s="59">
        <f>AVERAGE(U59,V59,X59,Y59)-10%</f>
        <v>4.7586834790627058E-3</v>
      </c>
      <c r="AA59" s="59">
        <f>AVERAGE(V59,X59,Y59,Z59)-1%</f>
        <v>3.8256046656520666E-2</v>
      </c>
      <c r="AB59" s="19"/>
      <c r="AC59" s="59">
        <f>AVERAGE(X59,Y59,Z59,AA59)+10%</f>
        <v>0.11398119576140911</v>
      </c>
      <c r="AD59" s="59">
        <f>AVERAGE(Y59,Z59,AA59,AC59)+10.9930195170482%</f>
        <v>0.13917917664473012</v>
      </c>
      <c r="AE59" s="59">
        <f>AVERAGE(Z59,AA59,AC59,AD59)+10.9930195170482%</f>
        <v>0.18397397080591266</v>
      </c>
      <c r="AF59" s="59">
        <f>AVERAGE(AA59,AC59,AD59,AE59)+10.9930195170482%</f>
        <v>0.22877779263762515</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6.8333984994003334</v>
      </c>
      <c r="Z60" s="43">
        <f t="shared" ref="Z60:AA60" si="167">+Z40/((Y50+Z50)/2)</f>
        <v>7.2549554121305189</v>
      </c>
      <c r="AA60" s="43">
        <f t="shared" si="167"/>
        <v>9.0475509066754487</v>
      </c>
      <c r="AB60" s="19"/>
      <c r="AC60" s="43">
        <f>+AC40/((AA50+AC50)/2)</f>
        <v>7.8035693662439778</v>
      </c>
      <c r="AD60" s="43">
        <f>+AD40/((AC50+AD50)/2)</f>
        <v>7.818018743010346</v>
      </c>
      <c r="AE60" s="43">
        <f t="shared" ref="AE60:AF60" si="168">+AE40/((AD50+AE50)/2)</f>
        <v>8.6364754682476832</v>
      </c>
      <c r="AF60" s="43">
        <f t="shared" si="168"/>
        <v>11.168263019967601</v>
      </c>
      <c r="AG60" s="19"/>
    </row>
    <row r="61" spans="1:33" ht="17.399999999999999" x14ac:dyDescent="0.45">
      <c r="A61" s="138"/>
      <c r="B61" s="185" t="s">
        <v>26</v>
      </c>
      <c r="C61" s="18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85" t="s">
        <v>16</v>
      </c>
      <c r="C63" s="186"/>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0" t="s">
        <v>101</v>
      </c>
      <c r="C64" s="191"/>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6.1181948596470415E-2</v>
      </c>
      <c r="Z64" s="55">
        <f t="shared" si="175"/>
        <v>8.7239756101966659E-2</v>
      </c>
      <c r="AA64" s="55">
        <f t="shared" si="175"/>
        <v>0.14763872468333039</v>
      </c>
      <c r="AB64" s="53">
        <f t="shared" si="175"/>
        <v>0.1180473591876019</v>
      </c>
      <c r="AC64" s="55">
        <f t="shared" si="175"/>
        <v>0.21662209861239101</v>
      </c>
      <c r="AD64" s="55">
        <f t="shared" si="175"/>
        <v>0.24308401556748382</v>
      </c>
      <c r="AE64" s="55">
        <f t="shared" si="175"/>
        <v>0.29087690318519543</v>
      </c>
      <c r="AF64" s="55">
        <f t="shared" si="175"/>
        <v>0.33835061042686987</v>
      </c>
      <c r="AG64" s="53">
        <f t="shared" si="175"/>
        <v>0.27791097828376921</v>
      </c>
    </row>
    <row r="65" spans="1:33" s="42" customFormat="1" outlineLevel="1" x14ac:dyDescent="0.3">
      <c r="A65" s="145"/>
      <c r="B65" s="190" t="s">
        <v>102</v>
      </c>
      <c r="C65" s="191"/>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1.0267710661329588E-2</v>
      </c>
      <c r="Z65" s="55">
        <f t="shared" si="179"/>
        <v>7.1032389174259469E-2</v>
      </c>
      <c r="AA65" s="55">
        <f t="shared" si="179"/>
        <v>0.26065938112414178</v>
      </c>
      <c r="AB65" s="53"/>
      <c r="AC65" s="55">
        <f>+AC13/AA13-1</f>
        <v>-0.10809445587665201</v>
      </c>
      <c r="AD65" s="55">
        <f t="shared" ref="AD65:AF65" si="180">+AD13/AC13-1</f>
        <v>3.2241354155412516E-2</v>
      </c>
      <c r="AE65" s="55">
        <f t="shared" si="180"/>
        <v>0.11221040286415995</v>
      </c>
      <c r="AF65" s="55">
        <f t="shared" si="180"/>
        <v>0.30702179898388082</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18194.118384000001</v>
      </c>
      <c r="Z66" s="29">
        <f>+Z84+Z13</f>
        <v>19341.956174711915</v>
      </c>
      <c r="AA66" s="29">
        <f>+AA84+AA13</f>
        <v>24294.519593773974</v>
      </c>
      <c r="AB66" s="30">
        <f>SUM(X66:AA66)</f>
        <v>79842.594152485894</v>
      </c>
      <c r="AC66" s="29">
        <f>+AC84+AC13</f>
        <v>21629.22616308798</v>
      </c>
      <c r="AD66" s="29">
        <f>+AD84+AD13</f>
        <v>22324.969636211845</v>
      </c>
      <c r="AE66" s="29">
        <f>+AE84+AE13</f>
        <v>24824.452952878106</v>
      </c>
      <c r="AF66" s="29">
        <f>+AF84+AF13</f>
        <v>32430.750067312259</v>
      </c>
      <c r="AG66" s="30">
        <f>SUM(AC66:AF66)</f>
        <v>101209.39881949018</v>
      </c>
    </row>
    <row r="67" spans="1:33" s="42" customFormat="1" outlineLevel="1" x14ac:dyDescent="0.3">
      <c r="A67" s="145"/>
      <c r="B67" s="190" t="s">
        <v>103</v>
      </c>
      <c r="C67" s="19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7.7467629041809927E-2</v>
      </c>
      <c r="Z67" s="55">
        <f t="shared" ref="Z67" si="183">+Z66/U13-1</f>
        <v>9.5737376768180171E-2</v>
      </c>
      <c r="AA67" s="55">
        <f t="shared" ref="AA67" si="184">+AA66/V13-1</f>
        <v>0.15238210766407234</v>
      </c>
      <c r="AB67" s="147">
        <f>+AB66/W13-1</f>
        <v>0.12936325660899173</v>
      </c>
      <c r="AC67" s="55">
        <f>+AC66/X13-1</f>
        <v>0.21944106461566104</v>
      </c>
      <c r="AD67" s="55">
        <f t="shared" ref="AD67" si="185">+AD66/Y13-1</f>
        <v>0.24587433141497805</v>
      </c>
      <c r="AE67" s="55">
        <f t="shared" ref="AE67" si="186">+AE66/Z13-1</f>
        <v>0.2934821613227625</v>
      </c>
      <c r="AF67" s="55">
        <f t="shared" ref="AF67" si="187">+AF66/AA13-1</f>
        <v>0.34041719413423421</v>
      </c>
      <c r="AG67" s="147">
        <f>+AG66/AB13-1</f>
        <v>0.28044125961049482</v>
      </c>
    </row>
    <row r="68" spans="1:33" s="42" customFormat="1" outlineLevel="1" x14ac:dyDescent="0.3">
      <c r="A68" s="145"/>
      <c r="B68" s="190" t="s">
        <v>104</v>
      </c>
      <c r="C68" s="19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0.79</v>
      </c>
      <c r="Z69" s="60">
        <v>0.79500000000000004</v>
      </c>
      <c r="AA69" s="60">
        <v>0.81</v>
      </c>
      <c r="AB69" s="54">
        <f>+AB15/AB13</f>
        <v>0.80069828466304771</v>
      </c>
      <c r="AC69" s="60">
        <v>0.80500000000000005</v>
      </c>
      <c r="AD69" s="60">
        <v>0.81499999999999995</v>
      </c>
      <c r="AE69" s="60">
        <v>0.81499999999999995</v>
      </c>
      <c r="AF69" s="60">
        <v>0.81499999999999995</v>
      </c>
      <c r="AG69" s="54">
        <f>+AG15/AG13</f>
        <v>0.8128636417585603</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0.23499999999999999</v>
      </c>
      <c r="Z70" s="60">
        <v>0.23</v>
      </c>
      <c r="AA70" s="60">
        <v>0.22</v>
      </c>
      <c r="AB70" s="54"/>
      <c r="AC70" s="60">
        <v>0.23499999999999999</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0.17</v>
      </c>
      <c r="Z71" s="60">
        <v>0.16500000000000001</v>
      </c>
      <c r="AA71" s="60">
        <v>0.15</v>
      </c>
      <c r="AB71" s="165"/>
      <c r="AC71" s="60">
        <v>0.16400000000000001</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53518.916653198081</v>
      </c>
      <c r="AC73" s="51"/>
      <c r="AD73" s="51"/>
      <c r="AE73" s="51"/>
      <c r="AF73" s="51"/>
      <c r="AG73" s="30">
        <f>AG14+AG17+AG18+AG19</f>
        <v>65798.367558527738</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-0.72187791251739419</v>
      </c>
      <c r="Z74" s="55">
        <f>+(Z14+Z17+Z18+Z19)/(X14+X17+X18+X19)-1</f>
        <v>0.11645202671196464</v>
      </c>
      <c r="AA74" s="55">
        <f>+(AA14+AA17+AA18+AA19)/(Y14+Y17+Y18+Y19)-1</f>
        <v>0.19004453995491399</v>
      </c>
      <c r="AB74" s="53">
        <f>+(AB14+AB17+AB18+AB19)/(W14+W17+W18+W19)-1</f>
        <v>0.14574547008623417</v>
      </c>
      <c r="AC74" s="55">
        <f>+(AC14+AC17+AC18+AC19)/(AA14+AA17+AA18+AA19)-1</f>
        <v>-4.5284206290500562E-2</v>
      </c>
      <c r="AD74" s="55">
        <f>+(AD14+AD17+AD18+AD19)/(AB14+AB17+AB18+AB19)-1</f>
        <v>-0.73154622115285095</v>
      </c>
      <c r="AE74" s="55">
        <f>+(AE14+AE17+AE18+AE19)/(AC14+AC17+AC18+AC19)-1</f>
        <v>8.2609465162372997E-2</v>
      </c>
      <c r="AF74" s="55">
        <f>+(AF14+AF17+AF18+AF19)/(AD14+AD17+AD18+AD19)-1</f>
        <v>0.44016060679451896</v>
      </c>
      <c r="AG74" s="53">
        <f>+(AG14+AG17+AG18+AG19)/(AB14+AB17+AB18+AB19)-1</f>
        <v>0.22944132043816112</v>
      </c>
    </row>
    <row r="75" spans="1:33" s="42" customFormat="1" outlineLevel="1" x14ac:dyDescent="0.3">
      <c r="A75" s="145"/>
      <c r="B75" s="190" t="s">
        <v>4</v>
      </c>
      <c r="C75" s="191"/>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0.27500000000000002</v>
      </c>
      <c r="Z75" s="51">
        <f t="shared" si="207"/>
        <v>0.311</v>
      </c>
      <c r="AA75" s="51">
        <f t="shared" si="207"/>
        <v>0.3610000000000001</v>
      </c>
      <c r="AB75" s="54">
        <f t="shared" si="207"/>
        <v>0.3229104228290956</v>
      </c>
      <c r="AC75" s="51">
        <f t="shared" si="207"/>
        <v>0.31600000000000006</v>
      </c>
      <c r="AD75" s="51">
        <f t="shared" si="207"/>
        <v>0.35500000000000009</v>
      </c>
      <c r="AE75" s="51">
        <f t="shared" si="207"/>
        <v>0.35499999999999993</v>
      </c>
      <c r="AF75" s="51">
        <f t="shared" si="207"/>
        <v>0.36099999999999993</v>
      </c>
      <c r="AG75" s="54">
        <f t="shared" si="207"/>
        <v>0.34859163278346655</v>
      </c>
    </row>
    <row r="76" spans="1:33" s="42" customFormat="1" outlineLevel="1" x14ac:dyDescent="0.3">
      <c r="A76" s="145"/>
      <c r="B76" s="190" t="s">
        <v>2</v>
      </c>
      <c r="C76" s="191"/>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0.17629982563380753</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0.18072992071038982</v>
      </c>
    </row>
    <row r="77" spans="1:33" ht="17.399999999999999" x14ac:dyDescent="0.45">
      <c r="A77" s="138"/>
      <c r="B77" s="185" t="s">
        <v>18</v>
      </c>
      <c r="C77" s="186"/>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0" t="s">
        <v>12</v>
      </c>
      <c r="C78" s="19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0" t="s">
        <v>13</v>
      </c>
      <c r="C79" s="19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0" t="s">
        <v>5</v>
      </c>
      <c r="C80" s="19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190</v>
      </c>
      <c r="Z80" s="63">
        <f>220</f>
        <v>220</v>
      </c>
      <c r="AA80" s="63">
        <f>280</f>
        <v>280</v>
      </c>
      <c r="AB80" s="62"/>
      <c r="AC80" s="63">
        <f>290</f>
        <v>290</v>
      </c>
      <c r="AD80" s="63">
        <f>298</f>
        <v>298</v>
      </c>
      <c r="AE80" s="63">
        <f>306</f>
        <v>306</v>
      </c>
      <c r="AF80" s="63">
        <f>312</f>
        <v>312</v>
      </c>
      <c r="AG80" s="62"/>
    </row>
    <row r="81" spans="1:33" outlineLevel="1" x14ac:dyDescent="0.3">
      <c r="A81" s="138"/>
      <c r="B81" s="190" t="s">
        <v>6</v>
      </c>
      <c r="C81" s="19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v>1730</v>
      </c>
      <c r="Z81" s="58">
        <f>AVERAGE(U81,V81,X81,Y81)</f>
        <v>1356.0264125000001</v>
      </c>
      <c r="AA81" s="58">
        <f>AVERAGE(V81,X81,Y81,Z81)</f>
        <v>1407.3711156250001</v>
      </c>
      <c r="AB81" s="30">
        <f>+SUM(X81:AA81)</f>
        <v>5734.9731781250002</v>
      </c>
      <c r="AC81" s="58">
        <f>AVERAGE(X81,Y81,Z81,AA81)</f>
        <v>1433.7432945312501</v>
      </c>
      <c r="AD81" s="58">
        <f>AVERAGE(Y81,Z81,AA81,AC81)</f>
        <v>1481.7852056640627</v>
      </c>
      <c r="AE81" s="58">
        <f>AVERAGE(Z81,AA81,AC81,AD81)</f>
        <v>1419.7315070800782</v>
      </c>
      <c r="AF81" s="58">
        <f>AVERAGE(AA81,AC81,AD81,AE81)</f>
        <v>1435.6577807250978</v>
      </c>
      <c r="AG81" s="30">
        <f>+SUM(AC81:AF81)</f>
        <v>5770.9177880004881</v>
      </c>
    </row>
    <row r="82" spans="1:33" outlineLevel="1" x14ac:dyDescent="0.3">
      <c r="A82" s="138"/>
      <c r="B82" s="194" t="s">
        <v>17</v>
      </c>
      <c r="C82" s="195"/>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9.1052631578947363</v>
      </c>
      <c r="Z82" s="66">
        <f>IF((Z81)&gt;0,(Z81/Z80),0)</f>
        <v>6.1637564204545461</v>
      </c>
      <c r="AA82" s="66">
        <f>IF((AA81)&gt;0,(AA81/AA80),0)</f>
        <v>5.026325412946429</v>
      </c>
      <c r="AB82" s="101">
        <f>+SUM(X82:AA82)</f>
        <v>26.595344991295711</v>
      </c>
      <c r="AC82" s="66">
        <f>IF((AC81)&gt;0,(AC81/AC80),0)</f>
        <v>4.9439423949353447</v>
      </c>
      <c r="AD82" s="66">
        <f>IF((AD81)&gt;0,(AD81/AD80),0)</f>
        <v>4.972433576053902</v>
      </c>
      <c r="AE82" s="66">
        <f>IF((AE81)&gt;0,(AE81/AE80),0)</f>
        <v>4.6396454479741118</v>
      </c>
      <c r="AF82" s="66">
        <f>IF((AF81)&gt;0,(AF81/AF80),0)</f>
        <v>4.6014672459137751</v>
      </c>
      <c r="AG82" s="101">
        <f>+SUM(AC82:AF82)</f>
        <v>19.157488664877132</v>
      </c>
    </row>
    <row r="83" spans="1:33" ht="17.399999999999999" x14ac:dyDescent="0.45">
      <c r="A83" s="138"/>
      <c r="B83" s="185" t="s">
        <v>24</v>
      </c>
      <c r="C83" s="186"/>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0" t="s">
        <v>95</v>
      </c>
      <c r="C84" s="191"/>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85" t="s">
        <v>96</v>
      </c>
      <c r="C85" s="186"/>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headerFooter>
    <oddFooter>&amp;CGutenberg Research LLC prohibits the redistribution of this document in whole or part without the written permission. 
© Gutenberg Research LLC 2019.</oddFooter>
  </headerFooter>
  <rowBreaks count="1" manualBreakCount="1">
    <brk id="89" max="16383" man="1"/>
  </rowBreak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1"/>
  <sheetViews>
    <sheetView showGridLines="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2020-07-25T21:36:30Z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