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4D399978-680F-49DC-938E-2EFC22964662}" xr6:coauthVersionLast="45" xr6:coauthVersionMax="45" xr10:uidLastSave="{00000000-0000-0000-0000-000000000000}"/>
  <bookViews>
    <workbookView xWindow="-108" yWindow="-108" windowWidth="23256" windowHeight="13176"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84" i="3" l="1"/>
  <c r="AD84" i="3"/>
  <c r="AE84" i="3"/>
  <c r="AF84" i="3"/>
  <c r="AA84" i="3"/>
  <c r="Z84" i="3"/>
  <c r="Y84"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Y81" i="3"/>
  <c r="T43" i="3"/>
  <c r="U43" i="3"/>
  <c r="V43" i="3"/>
  <c r="X43" i="3"/>
  <c r="Y42" i="3"/>
  <c r="T53" i="3"/>
  <c r="U53" i="3"/>
  <c r="V53" i="3"/>
  <c r="X53" i="3"/>
  <c r="Y53" i="3"/>
  <c r="Y52" i="3"/>
  <c r="Y36" i="3"/>
  <c r="T45" i="3"/>
  <c r="U45" i="3"/>
  <c r="V45" i="3"/>
  <c r="X45" i="3"/>
  <c r="Y44" i="3"/>
  <c r="T55" i="3"/>
  <c r="U55" i="3"/>
  <c r="V55" i="3"/>
  <c r="X55" i="3"/>
  <c r="Y55" i="3"/>
  <c r="Y54" i="3"/>
  <c r="Y37" i="3"/>
  <c r="T47" i="3"/>
  <c r="U47" i="3"/>
  <c r="V47" i="3"/>
  <c r="X47" i="3"/>
  <c r="Y46" i="3"/>
  <c r="T57" i="3"/>
  <c r="U57" i="3"/>
  <c r="V57" i="3"/>
  <c r="X57" i="3"/>
  <c r="Y57" i="3"/>
  <c r="Y56" i="3"/>
  <c r="Y38" i="3"/>
  <c r="T49" i="3"/>
  <c r="U49" i="3"/>
  <c r="V49" i="3"/>
  <c r="X49" i="3"/>
  <c r="Y48" i="3"/>
  <c r="T59" i="3"/>
  <c r="U59" i="3"/>
  <c r="V59" i="3"/>
  <c r="X59" i="3"/>
  <c r="Y59" i="3"/>
  <c r="Y58" i="3"/>
  <c r="Y39" i="3"/>
  <c r="Y40" i="3"/>
  <c r="Y13" i="3"/>
  <c r="Y14" i="3"/>
  <c r="Y15" i="3"/>
  <c r="Y17" i="3"/>
  <c r="Y18" i="3"/>
  <c r="Y19" i="3"/>
  <c r="Y20" i="3"/>
  <c r="Y21" i="3"/>
  <c r="Y22" i="3"/>
  <c r="Y23" i="3"/>
  <c r="Y24" i="3"/>
  <c r="Y25" i="3"/>
  <c r="Z81" i="3"/>
  <c r="Z42" i="3"/>
  <c r="Z52" i="3"/>
  <c r="Z36" i="3"/>
  <c r="Z44" i="3"/>
  <c r="Z54" i="3"/>
  <c r="Z37" i="3"/>
  <c r="Z46" i="3"/>
  <c r="Z56" i="3"/>
  <c r="Z38" i="3"/>
  <c r="Z48" i="3"/>
  <c r="Z58" i="3"/>
  <c r="Z39" i="3"/>
  <c r="Z40" i="3"/>
  <c r="Z13" i="3"/>
  <c r="Z14" i="3"/>
  <c r="Z15" i="3"/>
  <c r="Z17" i="3"/>
  <c r="Z18" i="3"/>
  <c r="Z19" i="3"/>
  <c r="Z20" i="3"/>
  <c r="Z21" i="3"/>
  <c r="Z22" i="3"/>
  <c r="Z23" i="3"/>
  <c r="Z24" i="3"/>
  <c r="Z25" i="3"/>
  <c r="AA81" i="3"/>
  <c r="AA42" i="3"/>
  <c r="AA52" i="3"/>
  <c r="AA36" i="3"/>
  <c r="AA44" i="3"/>
  <c r="AA54" i="3"/>
  <c r="AA37" i="3"/>
  <c r="AA46" i="3"/>
  <c r="AA56" i="3"/>
  <c r="AA38" i="3"/>
  <c r="AA48" i="3"/>
  <c r="AA58" i="3"/>
  <c r="AA39" i="3"/>
  <c r="AA40" i="3"/>
  <c r="AA13" i="3"/>
  <c r="AA14" i="3"/>
  <c r="AA15" i="3"/>
  <c r="AA17" i="3"/>
  <c r="AA18" i="3"/>
  <c r="AA19" i="3"/>
  <c r="AA20" i="3"/>
  <c r="AA21" i="3"/>
  <c r="AA22" i="3"/>
  <c r="AA23" i="3"/>
  <c r="AA24" i="3"/>
  <c r="AA25" i="3"/>
  <c r="AC81" i="3"/>
  <c r="AC43" i="3"/>
  <c r="AC42" i="3"/>
  <c r="AC52" i="3"/>
  <c r="AC36" i="3"/>
  <c r="AC45" i="3"/>
  <c r="AC44" i="3"/>
  <c r="AC54" i="3"/>
  <c r="AC37" i="3"/>
  <c r="AC47" i="3"/>
  <c r="AC46" i="3"/>
  <c r="AC56" i="3"/>
  <c r="AC38" i="3"/>
  <c r="AC49" i="3"/>
  <c r="AC48" i="3"/>
  <c r="AC58" i="3"/>
  <c r="AC39" i="3"/>
  <c r="AC40" i="3"/>
  <c r="AC13" i="3"/>
  <c r="AC14" i="3"/>
  <c r="AC15" i="3"/>
  <c r="AC17" i="3"/>
  <c r="AC18" i="3"/>
  <c r="AC19" i="3"/>
  <c r="AC20" i="3"/>
  <c r="AC21" i="3"/>
  <c r="AC22" i="3"/>
  <c r="AC23" i="3"/>
  <c r="X76" i="3"/>
  <c r="AC76" i="3"/>
  <c r="AC24" i="3"/>
  <c r="AC25" i="3"/>
  <c r="AD81" i="3"/>
  <c r="AD42" i="3"/>
  <c r="AD52" i="3"/>
  <c r="AD36" i="3"/>
  <c r="AD44" i="3"/>
  <c r="AD54" i="3"/>
  <c r="AD37" i="3"/>
  <c r="AD46" i="3"/>
  <c r="AD56" i="3"/>
  <c r="AD38" i="3"/>
  <c r="AD48" i="3"/>
  <c r="AD58" i="3"/>
  <c r="AD39" i="3"/>
  <c r="AD40" i="3"/>
  <c r="AD13" i="3"/>
  <c r="AD14" i="3"/>
  <c r="AD15" i="3"/>
  <c r="AD17" i="3"/>
  <c r="AD18" i="3"/>
  <c r="AD19" i="3"/>
  <c r="AD20" i="3"/>
  <c r="AD21" i="3"/>
  <c r="AD22" i="3"/>
  <c r="AD23" i="3"/>
  <c r="AD76" i="3"/>
  <c r="AD24" i="3"/>
  <c r="AD25" i="3"/>
  <c r="AE81" i="3"/>
  <c r="AE42" i="3"/>
  <c r="AE53" i="3"/>
  <c r="AE52" i="3"/>
  <c r="AE36" i="3"/>
  <c r="AE44" i="3"/>
  <c r="AE54" i="3"/>
  <c r="AE37" i="3"/>
  <c r="AE46" i="3"/>
  <c r="AE56" i="3"/>
  <c r="AE38" i="3"/>
  <c r="AE48" i="3"/>
  <c r="AE58" i="3"/>
  <c r="AE39" i="3"/>
  <c r="AE40" i="3"/>
  <c r="AE13" i="3"/>
  <c r="AE14" i="3"/>
  <c r="AE15" i="3"/>
  <c r="AE70" i="3"/>
  <c r="AE17" i="3"/>
  <c r="AE18" i="3"/>
  <c r="AE19" i="3"/>
  <c r="AE20" i="3"/>
  <c r="AE21" i="3"/>
  <c r="AE22" i="3"/>
  <c r="AE23" i="3"/>
  <c r="AE76" i="3"/>
  <c r="AE24" i="3"/>
  <c r="AE25" i="3"/>
  <c r="AF81" i="3"/>
  <c r="AF42" i="3"/>
  <c r="AF52" i="3"/>
  <c r="AF36" i="3"/>
  <c r="AF44" i="3"/>
  <c r="AF54" i="3"/>
  <c r="AF37" i="3"/>
  <c r="AF46" i="3"/>
  <c r="AF56" i="3"/>
  <c r="AF38" i="3"/>
  <c r="AF48" i="3"/>
  <c r="AF58" i="3"/>
  <c r="AF39" i="3"/>
  <c r="AF40" i="3"/>
  <c r="AF13" i="3"/>
  <c r="AF14" i="3"/>
  <c r="AF15" i="3"/>
  <c r="AF70" i="3"/>
  <c r="AF17" i="3"/>
  <c r="AF18" i="3"/>
  <c r="AF19" i="3"/>
  <c r="AF20" i="3"/>
  <c r="AF21" i="3"/>
  <c r="AF22" i="3"/>
  <c r="AF23" i="3"/>
  <c r="AF76" i="3"/>
  <c r="AF24" i="3"/>
  <c r="AF25"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13" i="3"/>
  <c r="AB14" i="3"/>
  <c r="AB15" i="3"/>
  <c r="AB17" i="3"/>
  <c r="AB18" i="3"/>
  <c r="AB19" i="3"/>
  <c r="AB20" i="3"/>
  <c r="AB21" i="3"/>
  <c r="AB22" i="3"/>
  <c r="AB23" i="3"/>
  <c r="AB24" i="3"/>
  <c r="AB25" i="3"/>
  <c r="AG13" i="3"/>
  <c r="AG14" i="3"/>
  <c r="AG15" i="3"/>
  <c r="AG17" i="3"/>
  <c r="AG18" i="3"/>
  <c r="AG19" i="3"/>
  <c r="AG20" i="3"/>
  <c r="AG21" i="3"/>
  <c r="AG22" i="3"/>
  <c r="AG23" i="3"/>
  <c r="AG24" i="3"/>
  <c r="AG25" i="3"/>
  <c r="W29" i="3"/>
  <c r="T80" i="3"/>
  <c r="T82" i="3"/>
  <c r="T79" i="3"/>
  <c r="U80" i="3"/>
  <c r="U82" i="3"/>
  <c r="U79" i="3"/>
  <c r="V80" i="3"/>
  <c r="V82" i="3"/>
  <c r="V79" i="3"/>
  <c r="X80" i="3"/>
  <c r="X82" i="3"/>
  <c r="X79" i="3"/>
  <c r="Y79" i="3"/>
  <c r="Y82" i="3"/>
  <c r="Y29" i="3"/>
  <c r="Z79" i="3"/>
  <c r="Z80" i="3"/>
  <c r="Z82" i="3"/>
  <c r="Z29" i="3"/>
  <c r="AA79" i="3"/>
  <c r="AA80" i="3"/>
  <c r="AA82" i="3"/>
  <c r="AA29" i="3"/>
  <c r="AB29" i="3"/>
  <c r="AC79" i="3"/>
  <c r="AC80" i="3"/>
  <c r="AC82" i="3"/>
  <c r="AC29" i="3"/>
  <c r="AD79" i="3"/>
  <c r="AD80" i="3"/>
  <c r="AD82" i="3"/>
  <c r="AD29" i="3"/>
  <c r="AE79" i="3"/>
  <c r="AE80" i="3"/>
  <c r="AE82" i="3"/>
  <c r="AE29" i="3"/>
  <c r="AF79" i="3"/>
  <c r="AF80" i="3"/>
  <c r="AF82" i="3"/>
  <c r="AF29" i="3"/>
  <c r="AG29" i="3"/>
  <c r="U31" i="3"/>
  <c r="V31" i="3"/>
  <c r="X31" i="3"/>
  <c r="Y31" i="3"/>
  <c r="X69" i="3"/>
  <c r="X70" i="3"/>
  <c r="X71" i="3"/>
  <c r="X72" i="3"/>
  <c r="AG73" i="3"/>
  <c r="AB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Z31" i="3"/>
  <c r="Y78"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31"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43" authorId="0" shapeId="0" xr:uid="{CA776002-2BD9-4341-A1D5-7E072FA9BBD2}">
      <text>
        <r>
          <rPr>
            <b/>
            <sz val="9"/>
            <color rgb="FF000000"/>
            <rFont val="Tahoma"/>
            <family val="2"/>
          </rPr>
          <t xml:space="preserve">Primary Input: </t>
        </r>
        <r>
          <rPr>
            <sz val="9"/>
            <color rgb="FF000000"/>
            <rFont val="Tahoma"/>
            <family val="2"/>
          </rPr>
          <t xml:space="preserve">If you believe that new users will join the Facebook platforms, increase these growth rates for the various regions. If you believe users will leave, or begin to use Facebook less then monthly, decrease the growth rates.
</t>
        </r>
        <r>
          <rPr>
            <sz val="9"/>
            <color rgb="FF000000"/>
            <rFont val="Tahoma"/>
            <family val="2"/>
          </rPr>
          <t xml:space="preserve">
</t>
        </r>
        <r>
          <rPr>
            <sz val="9"/>
            <color rgb="FF000000"/>
            <rFont val="Tahoma"/>
            <family val="2"/>
          </rPr>
          <t>I believe that in the upcoming months, since most states are experiencing a second outbreak, there will be more users on Facebook. Since many people are staying at home to work and college students are home as well, it makes sense for an increasing rate for the next few quarters. Additionally, next year will continue to remain like this until there is a vaccine found, which is when averages will return back to pre-pandemic growth rates.</t>
        </r>
      </text>
    </comment>
    <comment ref="Y53" authorId="0" shapeId="0" xr:uid="{EB180744-0605-4677-8197-E126E6D6DF86}">
      <text>
        <r>
          <rPr>
            <b/>
            <sz val="9"/>
            <color rgb="FF000000"/>
            <rFont val="Tahoma"/>
            <family val="2"/>
          </rPr>
          <t xml:space="preserve">Primary Input: </t>
        </r>
        <r>
          <rPr>
            <sz val="9"/>
            <color rgb="FF000000"/>
            <rFont val="Tahoma"/>
            <family val="2"/>
          </rPr>
          <t xml:space="preserve">If you believe there will be an increase in user engagement number ads, quality, relevance and performance of ads, than increase the future ARPU estimates for the various regions. If not decrease the ARPU.
</t>
        </r>
        <r>
          <rPr>
            <sz val="9"/>
            <color rgb="FF000000"/>
            <rFont val="Tahoma"/>
            <family val="2"/>
          </rPr>
          <t xml:space="preserve">
</t>
        </r>
        <r>
          <rPr>
            <sz val="9"/>
            <color rgb="FF000000"/>
            <rFont val="Tahoma"/>
            <family val="2"/>
          </rPr>
          <t>Since over the past few weeks there have been many companies that have chosen to leave Facebook due to their reluctance in taking a political stance for social issues (i.e. Disney, Unilever, Verizon, etc.), coupled with the tightening budget for advertisements from other companies due to the coronavirus pandemic, I believe that the ARPU will decrease significantly for the next two quarters. After a vaccinne is found next year, along with an eventual response from Facebook, I believe that ARPU will return to normalcy next year.</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r>
          <rPr>
            <sz val="9"/>
            <color rgb="FF000000"/>
            <rFont val="Tahoma"/>
            <family val="2"/>
          </rPr>
          <t xml:space="preserve">
</t>
        </r>
        <r>
          <rPr>
            <sz val="9"/>
            <color rgb="FF000000"/>
            <rFont val="Tahoma"/>
            <family val="2"/>
          </rPr>
          <t>Management Guidance: "</t>
        </r>
        <r>
          <rPr>
            <sz val="9"/>
            <color rgb="FF000000"/>
            <rFont val="Calibri"/>
            <family val="2"/>
            <scheme val="minor"/>
          </rPr>
          <t>However, we plan to continue to invest in product development and to recruit technical talent. In addition, we have committed over $300 million to date in investments to help our broader community during the crisis, which will have an impact on our financial performance this year. As a result, we expect total expenses in 2020 to be between $52-56 billion, down from the prior range of $54-59 billion.</t>
        </r>
        <r>
          <rPr>
            <sz val="9"/>
            <color rgb="FF000000"/>
            <rFont val="Calibri"/>
            <family val="2"/>
            <scheme val="minor"/>
          </rPr>
          <t xml:space="preserve"> </t>
        </r>
        <r>
          <rPr>
            <sz val="9"/>
            <color rgb="FF000000"/>
            <rFont val="Calibri"/>
            <family val="2"/>
            <scheme val="minor"/>
          </rPr>
          <t xml:space="preserve">" - Q12020 Earnings Call
</t>
        </r>
        <r>
          <rPr>
            <sz val="9"/>
            <color rgb="FF000000"/>
            <rFont val="Tahoma"/>
            <family val="2"/>
          </rPr>
          <t xml:space="preserve">
</t>
        </r>
      </text>
    </comment>
    <comment ref="AB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List>
</comments>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<sst xmlns="http://schemas.openxmlformats.org/spreadsheetml/2006/main" count="439" uniqueCount="157">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</sst>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
      <sz val="9"/>
      <color rgb="FF000000"/>
      <name val="Calibri"/>
      <family val="2"/>
      <scheme val="minor"/>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165" fontId="61" fillId="12" borderId="0" xfId="1" applyNumberFormat="1" applyFont="1" applyFill="1" applyAlignment="1">
      <alignment horizontal="right"/>
    </xf>
    <xf numFmtId="165" fontId="61" fillId="12" borderId="5" xfId="1" applyNumberFormat="1" applyFont="1" applyFill="1" applyBorder="1" applyAlignment="1">
      <alignment horizontal="right"/>
    </xf>
    <xf numFmtId="43" fontId="63" fillId="12" borderId="7" xfId="1" applyFont="1" applyFill="1" applyBorder="1" applyAlignment="1">
      <alignment horizontal="right"/>
    </xf>
    <xf numFmtId="43" fontId="63" fillId="12" borderId="8" xfId="1" applyFont="1" applyFill="1" applyBorder="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5"/>
                <c:pt idx="0">
                  <c:v> 1Q20 </c:v>
                </c:pt>
                <c:pt idx="1">
                  <c:v> 2Q20E </c:v>
                </c:pt>
                <c:pt idx="2">
                  <c:v> 3Q20E </c:v>
                </c:pt>
                <c:pt idx="3">
                  <c:v> 4Q20E </c:v>
                </c:pt>
                <c:pt idx="4">
                  <c:v> 1Q21E </c:v>
                </c:pt>
              </c:strCache>
            </c:strRef>
          </c:cat>
          <c:val>
            <c:numRef>
              <c:f>('Earnings Model'!$T$50,'Earnings Model'!$U$50,'Earnings Model'!$V$50,'Earnings Model'!$X$50,'Earnings Model'!$Y$50,'Earnings Model'!$Z$50,'Earnings Model'!$AA$50,'Earnings Model'!$AC$50)</c:f>
              <c:numCache>
                <c:formatCode>_(* #,##0_);_(* \(#,##0\);_(* "-"??_);_(@_)</c:formatCode>
                <c:ptCount val="5"/>
                <c:pt idx="0">
                  <c:v>2603</c:v>
                </c:pt>
                <c:pt idx="1">
                  <c:v>2633.1800000000003</c:v>
                </c:pt>
                <c:pt idx="2">
                  <c:v>2696.11</c:v>
                </c:pt>
                <c:pt idx="3">
                  <c:v>2775.07</c:v>
                </c:pt>
                <c:pt idx="4">
                  <c:v>2863.1722358683623</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5"/>
                <c:pt idx="0">
                  <c:v> 1Q20 </c:v>
                </c:pt>
                <c:pt idx="1">
                  <c:v> 2Q20E </c:v>
                </c:pt>
                <c:pt idx="2">
                  <c:v> 3Q20E </c:v>
                </c:pt>
                <c:pt idx="3">
                  <c:v> 4Q20E </c:v>
                </c:pt>
                <c:pt idx="4">
                  <c:v> 1Q21E </c:v>
                </c:pt>
              </c:strCache>
            </c:strRef>
          </c:cat>
          <c:val>
            <c:numRef>
              <c:f>('Earnings Model'!$T$60,'Earnings Model'!$U$60,'Earnings Model'!$V$60,'Earnings Model'!$X$60,'Earnings Model'!$Y$60,'Earnings Model'!$Z$60,'Earnings Model'!$AA$60,'Earnings Model'!$AC$60)</c:f>
              <c:numCache>
                <c:formatCode>_(* #,##0.00_);_(* \(#,##0.00\);_(* "-"??_);_(@_)</c:formatCode>
                <c:ptCount val="5"/>
                <c:pt idx="0">
                  <c:v>6.954595357590966</c:v>
                </c:pt>
                <c:pt idx="1">
                  <c:v>6.6420080393739198</c:v>
                </c:pt>
                <c:pt idx="2">
                  <c:v>6.7197371359036566</c:v>
                </c:pt>
                <c:pt idx="3">
                  <c:v>7.7252889821574131</c:v>
                </c:pt>
                <c:pt idx="4">
                  <c:v>6.5070031445915584</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topLeftCell="A20" workbookViewId="0">
      <selection activeCell="B4" sqref="B4"/>
    </sheetView>
  </sheetViews>
  <sheetFormatPr defaultColWidth="8.77734375" defaultRowHeight="14.4" x14ac:dyDescent="0.3"/>
  <cols>
    <col min="1" max="1" width="1" customWidth="1"/>
    <col min="2" max="2" width="182.664062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H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hidden="1" customWidth="1" outlineLevel="1"/>
    <col min="21" max="22" width="11.44140625" style="11" hidden="1" customWidth="1" outlineLevel="1"/>
    <col min="23" max="23" width="11.44140625" style="11" customWidth="1" collapsed="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x14ac:dyDescent="0.3">
      <c r="B1" s="127" t="s">
        <v>15</v>
      </c>
    </row>
    <row r="2" spans="1:61" ht="59.25" customHeight="1" x14ac:dyDescent="0.3">
      <c r="B2" s="196" t="s">
        <v>14</v>
      </c>
      <c r="C2" s="197"/>
      <c r="K2" s="12"/>
    </row>
    <row r="3" spans="1:61" x14ac:dyDescent="0.3">
      <c r="B3" s="208" t="s">
        <v>154</v>
      </c>
      <c r="C3" s="209"/>
      <c r="D3" s="13"/>
      <c r="G3" s="14"/>
      <c r="H3" s="14"/>
    </row>
    <row r="4" spans="1:61" x14ac:dyDescent="0.3">
      <c r="B4" s="210" t="s">
        <v>155</v>
      </c>
      <c r="C4" s="211"/>
      <c r="D4" s="13"/>
      <c r="G4" s="14"/>
      <c r="H4" s="14"/>
      <c r="BI4" s="4" t="s">
        <v>15</v>
      </c>
    </row>
    <row r="5" spans="1:61" x14ac:dyDescent="0.3">
      <c r="B5" s="212" t="s">
        <v>156</v>
      </c>
      <c r="C5" s="213"/>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55" hidden="1" customHeight="1" x14ac:dyDescent="0.3">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61" s="138" customFormat="1" ht="14.55" hidden="1" customHeight="1" x14ac:dyDescent="0.3">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61" s="138" customFormat="1" ht="14.55" hidden="1" customHeight="1" x14ac:dyDescent="0.3">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61" s="138" customFormat="1" ht="14.55" hidden="1" customHeight="1" x14ac:dyDescent="0.3">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61" ht="17.55" customHeight="1" x14ac:dyDescent="0.3">
      <c r="B10" s="127" t="s">
        <v>15</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61" ht="15.6" x14ac:dyDescent="0.3">
      <c r="A11" s="191"/>
      <c r="B11" s="189" t="s">
        <v>74</v>
      </c>
      <c r="C11" s="190"/>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191"/>
      <c r="B12" s="206" t="s">
        <v>3</v>
      </c>
      <c r="C12" s="207"/>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8"/>
      <c r="B13" s="194" t="s">
        <v>19</v>
      </c>
      <c r="C13" s="195"/>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85">
        <f t="shared" ref="Y13:AA13" si="0">+Y40</f>
        <v>17389.374827804466</v>
      </c>
      <c r="Z13" s="185">
        <f t="shared" si="0"/>
        <v>17905.713960500001</v>
      </c>
      <c r="AA13" s="185">
        <f t="shared" si="0"/>
        <v>21133.223286699998</v>
      </c>
      <c r="AB13" s="128">
        <f>SUM(X13:AA13)</f>
        <v>74165.312075004462</v>
      </c>
      <c r="AC13" s="185">
        <f t="shared" ref="AC13:AF13" si="1">+AC40</f>
        <v>18344.029979382187</v>
      </c>
      <c r="AD13" s="29">
        <f t="shared" si="1"/>
        <v>19113.5886908174</v>
      </c>
      <c r="AE13" s="29">
        <f t="shared" si="1"/>
        <v>20439.423559509294</v>
      </c>
      <c r="AF13" s="29">
        <f t="shared" si="1"/>
        <v>25023.097418918969</v>
      </c>
      <c r="AG13" s="186">
        <f>SUM(AC13:AF13)</f>
        <v>82920.139648627854</v>
      </c>
    </row>
    <row r="14" spans="1:61"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3512.6537152165015</v>
      </c>
      <c r="Z14" s="135">
        <f>+Z13*(1-Z69)</f>
        <v>3742.2942177444997</v>
      </c>
      <c r="AA14" s="135">
        <f>+AA13*(1-AA69)</f>
        <v>4564.776229927199</v>
      </c>
      <c r="AB14" s="129">
        <f>SUM(X14:AA14)</f>
        <v>15278.7241628882</v>
      </c>
      <c r="AC14" s="34">
        <f>+AC13*(1-AC69)</f>
        <v>3907.2783856084052</v>
      </c>
      <c r="AD14" s="34">
        <f>+AD13*(1-AD69)</f>
        <v>4013.8536250716534</v>
      </c>
      <c r="AE14" s="34">
        <f>+AE13*(1-AE69)</f>
        <v>4230.9606768184231</v>
      </c>
      <c r="AF14" s="34">
        <f>+AF13*(1-AF69)</f>
        <v>5179.7811657162256</v>
      </c>
      <c r="AG14" s="129">
        <f>SUM(AC14:AF14)</f>
        <v>17331.873853214707</v>
      </c>
    </row>
    <row r="15" spans="1:61" s="21" customFormat="1" x14ac:dyDescent="0.3">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13876.721112587964</v>
      </c>
      <c r="Z15" s="40">
        <f t="shared" ref="Z15" si="13">+Z13-Z14</f>
        <v>14163.419742755501</v>
      </c>
      <c r="AA15" s="40">
        <f t="shared" ref="AA15" si="14">+AA13-AA14</f>
        <v>16568.447056772799</v>
      </c>
      <c r="AB15" s="130">
        <f>+AB13-AB14</f>
        <v>58886.587912116258</v>
      </c>
      <c r="AC15" s="40">
        <f>+AC13-AC14</f>
        <v>14436.751593773781</v>
      </c>
      <c r="AD15" s="40">
        <f t="shared" ref="AD15" si="15">+AD13-AD14</f>
        <v>15099.735065745746</v>
      </c>
      <c r="AE15" s="40">
        <f t="shared" ref="AE15" si="16">+AE13-AE14</f>
        <v>16208.46288269087</v>
      </c>
      <c r="AF15" s="40">
        <f t="shared" ref="AF15" si="17">+AF13-AF14</f>
        <v>19843.316253202742</v>
      </c>
      <c r="AG15" s="130">
        <f>+AG13-AG14</f>
        <v>65588.265795413143</v>
      </c>
    </row>
    <row r="16" spans="1:61"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3964.7774607394185</v>
      </c>
      <c r="Z17" s="29">
        <f>+Z13*Z70</f>
        <v>4046.6913550730005</v>
      </c>
      <c r="AA17" s="29">
        <f>+AA13*AA70</f>
        <v>4733.8420162207995</v>
      </c>
      <c r="AB17" s="128">
        <f t="shared" ref="AB17:AB19" si="22">SUM(X17:AA17)</f>
        <v>16760.310832033218</v>
      </c>
      <c r="AC17" s="29">
        <f>+AC13*AC70</f>
        <v>4072.3746554228455</v>
      </c>
      <c r="AD17" s="29">
        <f>+AD13*AD70</f>
        <v>4204.9895119798284</v>
      </c>
      <c r="AE17" s="29">
        <f>+AE13*AE70</f>
        <v>4496.6731830920444</v>
      </c>
      <c r="AF17" s="29">
        <f>+AF13*AF70</f>
        <v>5505.0814321621729</v>
      </c>
      <c r="AG17" s="128">
        <f t="shared" ref="AG17:AG19" si="23">SUM(AC17:AF17)</f>
        <v>18279.118782656889</v>
      </c>
    </row>
    <row r="18" spans="1:33" x14ac:dyDescent="0.3">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2956.1937207267592</v>
      </c>
      <c r="Z18" s="29">
        <f>+Z13*Z71</f>
        <v>3223.02851289</v>
      </c>
      <c r="AA18" s="29">
        <f>+AA13*AA71</f>
        <v>4015.3124244729997</v>
      </c>
      <c r="AB18" s="128">
        <f t="shared" si="22"/>
        <v>12981.53465808976</v>
      </c>
      <c r="AC18" s="29">
        <f>+AC13*AC71</f>
        <v>3668.8059958764375</v>
      </c>
      <c r="AD18" s="29">
        <f>+AD13*AD71</f>
        <v>3822.7177381634801</v>
      </c>
      <c r="AE18" s="29">
        <f>+AE13*AE71</f>
        <v>4087.8847119018592</v>
      </c>
      <c r="AF18" s="29">
        <f>+AF13*AF71</f>
        <v>5004.6194837837938</v>
      </c>
      <c r="AG18" s="128">
        <f t="shared" si="23"/>
        <v>16584.027929725569</v>
      </c>
    </row>
    <row r="19" spans="1:33" ht="17.25" customHeight="1" x14ac:dyDescent="0.45">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1565.0437345024018</v>
      </c>
      <c r="Z19" s="34">
        <f>Z13*Z72</f>
        <v>1701.0428262475002</v>
      </c>
      <c r="AA19" s="34">
        <f>AA13*AA72</f>
        <v>2113.3223286699999</v>
      </c>
      <c r="AB19" s="129">
        <f t="shared" si="22"/>
        <v>6962.4088894199012</v>
      </c>
      <c r="AC19" s="34">
        <f>AC13*AC72</f>
        <v>1834.4029979382187</v>
      </c>
      <c r="AD19" s="34">
        <f>AD13*AD72</f>
        <v>1911.3588690817401</v>
      </c>
      <c r="AE19" s="34">
        <f>AE13*AE72</f>
        <v>2043.9423559509296</v>
      </c>
      <c r="AF19" s="34">
        <f>AF13*AF72</f>
        <v>2502.3097418918969</v>
      </c>
      <c r="AG19" s="129">
        <f t="shared" si="23"/>
        <v>8292.0139648627846</v>
      </c>
    </row>
    <row r="20" spans="1:33" s="39" customFormat="1" ht="17.25" customHeight="1" x14ac:dyDescent="0.45">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8486.0149159685789</v>
      </c>
      <c r="Z20" s="37">
        <f t="shared" si="24"/>
        <v>8970.7626942104998</v>
      </c>
      <c r="AA20" s="37">
        <f t="shared" si="24"/>
        <v>10862.476769363799</v>
      </c>
      <c r="AB20" s="131">
        <f t="shared" si="24"/>
        <v>36704.254379542879</v>
      </c>
      <c r="AC20" s="37">
        <f t="shared" si="24"/>
        <v>9575.583649237502</v>
      </c>
      <c r="AD20" s="37">
        <f t="shared" si="24"/>
        <v>9939.0661192250482</v>
      </c>
      <c r="AE20" s="37">
        <f t="shared" si="24"/>
        <v>10628.500250944835</v>
      </c>
      <c r="AF20" s="37">
        <f t="shared" si="24"/>
        <v>13012.010657837864</v>
      </c>
      <c r="AG20" s="131">
        <f t="shared" si="24"/>
        <v>43155.160677245236</v>
      </c>
    </row>
    <row r="21" spans="1:33" x14ac:dyDescent="0.3">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5390.7061966193851</v>
      </c>
      <c r="Z21" s="40">
        <f t="shared" ref="Z21" si="33">Z15-Z20</f>
        <v>5192.6570485450011</v>
      </c>
      <c r="AA21" s="40">
        <f>AA15-AA20</f>
        <v>5705.9702874089999</v>
      </c>
      <c r="AB21" s="130">
        <f>AB15-AB20</f>
        <v>22182.333532573379</v>
      </c>
      <c r="AC21" s="40">
        <f>AC15-AC20</f>
        <v>4861.1679445362788</v>
      </c>
      <c r="AD21" s="40">
        <f t="shared" ref="AD21" si="34">AD15-AD20</f>
        <v>5160.6689465206982</v>
      </c>
      <c r="AE21" s="40">
        <f t="shared" ref="AE21" si="35">AE15-AE20</f>
        <v>5579.9626317460352</v>
      </c>
      <c r="AF21" s="40">
        <f>AF15-AF20</f>
        <v>6831.3055953648782</v>
      </c>
      <c r="AG21" s="130">
        <f>AG15-AG20</f>
        <v>22433.105118167907</v>
      </c>
    </row>
    <row r="22" spans="1:33" ht="16.2" x14ac:dyDescent="0.45">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f>AVERAGE(X22,V22,U22,T22)</f>
        <v>157.25</v>
      </c>
      <c r="Z22" s="57">
        <f>AVERAGE(Y22,X22,V22,U22)</f>
        <v>145.0625</v>
      </c>
      <c r="AA22" s="57">
        <f>AVERAGE(Z22,Y22,X22,V22)</f>
        <v>145.328125</v>
      </c>
      <c r="AB22" s="129">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1">SUM(AC22:AF22)</f>
        <v>504.88824462890625</v>
      </c>
    </row>
    <row r="23" spans="1:33" x14ac:dyDescent="0.3">
      <c r="A23" s="138"/>
      <c r="B23" s="200" t="s">
        <v>23</v>
      </c>
      <c r="C23" s="201"/>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5547.9561966193851</v>
      </c>
      <c r="Z23" s="40">
        <f t="shared" si="42"/>
        <v>5337.7195485450011</v>
      </c>
      <c r="AA23" s="40">
        <f t="shared" si="42"/>
        <v>5851.2984124089999</v>
      </c>
      <c r="AB23" s="130">
        <f t="shared" si="42"/>
        <v>22597.974157573379</v>
      </c>
      <c r="AC23" s="40">
        <f t="shared" si="42"/>
        <v>4965.0781007862788</v>
      </c>
      <c r="AD23" s="40">
        <f t="shared" si="42"/>
        <v>5298.5566418331982</v>
      </c>
      <c r="AE23" s="40">
        <f t="shared" si="42"/>
        <v>5713.0097508866602</v>
      </c>
      <c r="AF23" s="40">
        <f t="shared" si="42"/>
        <v>6961.3488692906594</v>
      </c>
      <c r="AG23" s="130">
        <f t="shared" si="42"/>
        <v>22937.993362796813</v>
      </c>
    </row>
    <row r="24" spans="1:33" ht="16.2" x14ac:dyDescent="0.45">
      <c r="A24" s="138"/>
      <c r="B24" s="194" t="s">
        <v>7</v>
      </c>
      <c r="C24" s="195"/>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-998.63211539148926</v>
      </c>
      <c r="Z24" s="34">
        <f>+Z23*-Z76</f>
        <v>-960.78951873810013</v>
      </c>
      <c r="AA24" s="34">
        <f>+AA23*-AA76</f>
        <v>-1053.23371423362</v>
      </c>
      <c r="AB24" s="129">
        <f>SUM(X24:AA24)</f>
        <v>-3971.6553483632092</v>
      </c>
      <c r="AC24" s="34">
        <f>+AC23*-AC76</f>
        <v>-873.38697248577739</v>
      </c>
      <c r="AD24" s="34">
        <f>+AD23*-AD76</f>
        <v>-961.39299459851213</v>
      </c>
      <c r="AE24" s="34">
        <f>+AE23*-AE76</f>
        <v>-1038.6560064395942</v>
      </c>
      <c r="AF24" s="34">
        <f>+AF23*-AF76</f>
        <v>-1268.7527953644158</v>
      </c>
      <c r="AG24" s="129">
        <f>SUM(AC24:AF24)</f>
        <v>-4142.1887688882998</v>
      </c>
    </row>
    <row r="25" spans="1:33" x14ac:dyDescent="0.3">
      <c r="A25" s="145"/>
      <c r="B25" s="200" t="s">
        <v>8</v>
      </c>
      <c r="C25" s="201"/>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4549.3240812278955</v>
      </c>
      <c r="Z25" s="40">
        <f t="shared" si="43"/>
        <v>4376.9300298069011</v>
      </c>
      <c r="AA25" s="40">
        <f t="shared" si="43"/>
        <v>4798.0646981753798</v>
      </c>
      <c r="AB25" s="130">
        <f t="shared" si="43"/>
        <v>18626.31880921017</v>
      </c>
      <c r="AC25" s="40">
        <f t="shared" si="43"/>
        <v>4091.6911283005015</v>
      </c>
      <c r="AD25" s="40">
        <f t="shared" si="43"/>
        <v>4337.1636472346863</v>
      </c>
      <c r="AE25" s="40">
        <f t="shared" si="43"/>
        <v>4674.3537444470658</v>
      </c>
      <c r="AF25" s="40">
        <f t="shared" si="43"/>
        <v>5692.5960739262437</v>
      </c>
      <c r="AG25" s="130">
        <f t="shared" si="43"/>
        <v>18795.804593908513</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4549.3240812278955</v>
      </c>
      <c r="Z27" s="40">
        <f t="shared" ref="Z27" si="58">+Z25-Z26</f>
        <v>4376.9300298069011</v>
      </c>
      <c r="AA27" s="40">
        <f t="shared" ref="AA27" si="59">+AA25-AA26</f>
        <v>4798.0646981753798</v>
      </c>
      <c r="AB27" s="130">
        <f t="shared" ref="AB27" si="60">+AB25-AB26</f>
        <v>18626.31880921017</v>
      </c>
      <c r="AC27" s="40">
        <f t="shared" ref="AC27" si="61">+AC25-AC26</f>
        <v>4091.6911283005015</v>
      </c>
      <c r="AD27" s="40">
        <f t="shared" ref="AD27" si="62">+AD25-AD26</f>
        <v>4337.1636472346863</v>
      </c>
      <c r="AE27" s="40">
        <f t="shared" ref="AE27" si="63">+AE25-AE26</f>
        <v>4674.3537444470658</v>
      </c>
      <c r="AF27" s="40">
        <f t="shared" ref="AF27" si="64">+AF25-AF26</f>
        <v>5692.5960739262437</v>
      </c>
      <c r="AG27" s="130">
        <f t="shared" ref="AG27" si="65">+AG25-AG26</f>
        <v>18795.804593908513</v>
      </c>
    </row>
    <row r="28" spans="1:33" x14ac:dyDescent="0.3">
      <c r="A28" s="138"/>
      <c r="B28" s="194" t="s">
        <v>0</v>
      </c>
      <c r="C28" s="195"/>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2850.9262603564775</v>
      </c>
      <c r="Z28" s="29">
        <f>Y28*(1+Z78)-Z82</f>
        <v>2850.7433902732014</v>
      </c>
      <c r="AA28" s="29">
        <f>Z28*(1+AA78)-AA82</f>
        <v>2850.4753786844199</v>
      </c>
      <c r="AB28" s="128">
        <f>(X28*X25/AB25)+(Y28*Y25/AB25)+(Z28*Z25/AB25)+(AA28*AA25/AB25)</f>
        <v>2850.7865495909264</v>
      </c>
      <c r="AC28" s="29">
        <f>AA28*(1+AC78)-AC82</f>
        <v>2849.8468300104068</v>
      </c>
      <c r="AD28" s="29">
        <f>AC28*(1+AD78)-AD82</f>
        <v>2849.5569021039378</v>
      </c>
      <c r="AE28" s="29">
        <f>AD28*(1+AE78)-AE82</f>
        <v>2849.2129403516715</v>
      </c>
      <c r="AF28" s="29">
        <f>AE28*(1+AF78)-AF82</f>
        <v>2848.828723071334</v>
      </c>
      <c r="AG28" s="128">
        <f>(AC28*AC25/AG25)+(AD28*AD25/AG25)+(AE28*AE25/AG25)+(AF28*AF25/AG25)</f>
        <v>2849.3139365771763</v>
      </c>
    </row>
    <row r="29" spans="1:33" ht="15.75" customHeight="1" x14ac:dyDescent="0.3">
      <c r="A29" s="138"/>
      <c r="B29" s="194" t="s">
        <v>1</v>
      </c>
      <c r="C29" s="195"/>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2868.9280829514641</v>
      </c>
      <c r="Z29" s="29">
        <f>Y29*(1+Z79)-Z82</f>
        <v>2868.2478886183649</v>
      </c>
      <c r="AA29" s="29">
        <f>Z29*(1+AA79)-AA82</f>
        <v>2867.3583668816018</v>
      </c>
      <c r="AB29" s="128">
        <f>(X29*X25/AB25)+(Y29*Y25/AB25)+(Z29*Z25/AB25)+(AA29*AA25/AB25)</f>
        <v>2868.1196448995925</v>
      </c>
      <c r="AC29" s="29">
        <f>AA29*(1+AC79)-AC82</f>
        <v>2864.4570887213072</v>
      </c>
      <c r="AD29" s="29">
        <f>AC29*(1+AD79)-AD82</f>
        <v>2863.565682823255</v>
      </c>
      <c r="AE29" s="29">
        <f>AD29*(1+AE79)-AE82</f>
        <v>2862.220063590366</v>
      </c>
      <c r="AF29" s="29">
        <f>AE29*(1+AF79)-AF82</f>
        <v>2860.70845172279</v>
      </c>
      <c r="AG29" s="128">
        <f>(AC29*AC25/AG25)+(AD29*AD25/AG25)+(AE29*AE25/AG25)+(AF29*AF25/AG25)</f>
        <v>2862.5597346529885</v>
      </c>
    </row>
    <row r="30" spans="1:33" ht="15.75" customHeight="1" x14ac:dyDescent="0.3">
      <c r="A30" s="138"/>
      <c r="B30" s="204" t="s">
        <v>9</v>
      </c>
      <c r="C30" s="205"/>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1.5957354437708438</v>
      </c>
      <c r="Z30" s="43">
        <f t="shared" si="66"/>
        <v>1.5353644402863764</v>
      </c>
      <c r="AA30" s="43">
        <f t="shared" si="66"/>
        <v>1.6832507076029652</v>
      </c>
      <c r="AB30" s="132">
        <f t="shared" si="66"/>
        <v>6.5337472606930023</v>
      </c>
      <c r="AC30" s="43">
        <f t="shared" si="66"/>
        <v>1.4357582608345165</v>
      </c>
      <c r="AD30" s="43">
        <f t="shared" si="66"/>
        <v>1.5220484434026886</v>
      </c>
      <c r="AE30" s="43">
        <f t="shared" si="66"/>
        <v>1.6405771847540891</v>
      </c>
      <c r="AF30" s="43">
        <f t="shared" si="66"/>
        <v>1.9982233497663673</v>
      </c>
      <c r="AG30" s="132">
        <f t="shared" si="66"/>
        <v>6.5966071174619447</v>
      </c>
    </row>
    <row r="31" spans="1:33" x14ac:dyDescent="0.3">
      <c r="A31" s="138"/>
      <c r="B31" s="202" t="s">
        <v>10</v>
      </c>
      <c r="C31" s="203"/>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87">
        <f t="shared" si="67"/>
        <v>1.5857225938364032</v>
      </c>
      <c r="Z31" s="187">
        <f t="shared" si="67"/>
        <v>1.5259943351393064</v>
      </c>
      <c r="AA31" s="187">
        <f t="shared" si="67"/>
        <v>1.6733397379252317</v>
      </c>
      <c r="AB31" s="188">
        <f t="shared" si="67"/>
        <v>6.4942614379192829</v>
      </c>
      <c r="AC31" s="187">
        <f t="shared" si="67"/>
        <v>1.4284351280427214</v>
      </c>
      <c r="AD31" s="187">
        <f t="shared" si="67"/>
        <v>1.5146024668652187</v>
      </c>
      <c r="AE31" s="187">
        <f t="shared" si="67"/>
        <v>1.6331217169177275</v>
      </c>
      <c r="AF31" s="187">
        <f t="shared" si="67"/>
        <v>1.9899252824935796</v>
      </c>
      <c r="AG31" s="188">
        <f t="shared" si="67"/>
        <v>6.5660829244449008</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189" t="s">
        <v>25</v>
      </c>
      <c r="C33" s="190"/>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206"/>
      <c r="C34" s="207"/>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189" t="s">
        <v>146</v>
      </c>
      <c r="C35" s="190"/>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8313.1987577363107</v>
      </c>
      <c r="Z36" s="64">
        <f>+((Z42+Y42)/2)*Z52</f>
        <v>8598.055992499998</v>
      </c>
      <c r="AA36" s="64">
        <f>+((AA42+Z42)/2)*AA52</f>
        <v>10272.133542499998</v>
      </c>
      <c r="AB36" s="19"/>
      <c r="AC36" s="64">
        <f>+((AC42+AA42)/2)*AC52</f>
        <v>8842.5535293436205</v>
      </c>
      <c r="AD36" s="64">
        <f>+((AD42+AC42)/2)*AD52</f>
        <v>9111.9525302743205</v>
      </c>
      <c r="AE36" s="64">
        <f>+((AE42+AD42)/2)*AE52</f>
        <v>9765.5041025360952</v>
      </c>
      <c r="AF36" s="64">
        <f>+((AF42+AE42)/2)*AF52</f>
        <v>12107.878166471246</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4213.4240881648739</v>
      </c>
      <c r="Z37" s="64">
        <f t="shared" ref="Z37:AA37" si="68">+((Z44+Y44)/2)*Z54</f>
        <v>4170.9698699999999</v>
      </c>
      <c r="AA37" s="64">
        <f t="shared" si="68"/>
        <v>5157.4303665000007</v>
      </c>
      <c r="AB37" s="19"/>
      <c r="AC37" s="64">
        <f>+((AC44+AA44)/2)*AC54</f>
        <v>4385.2978120000007</v>
      </c>
      <c r="AD37" s="64">
        <f>+((AD44+AC44)/2)*AD54</f>
        <v>4614.9833674147249</v>
      </c>
      <c r="AE37" s="64">
        <f t="shared" ref="AE37:AF37" si="69">+((AE44+AD44)/2)*AE54</f>
        <v>4752.2389786200001</v>
      </c>
      <c r="AF37" s="64">
        <f t="shared" si="69"/>
        <v>6089.7549590158496</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3171.9487717934981</v>
      </c>
      <c r="Z38" s="64">
        <f t="shared" ref="Z38:AA38" si="70">+((Z46+Y46)/2)*Z56</f>
        <v>3356.2980180000004</v>
      </c>
      <c r="AA38" s="64">
        <f t="shared" si="70"/>
        <v>3715.5999153000002</v>
      </c>
      <c r="AB38" s="19"/>
      <c r="AC38" s="64">
        <f>+((AC46+AA46)/2)*AC56</f>
        <v>3419.1439437238532</v>
      </c>
      <c r="AD38" s="64">
        <f>+((AD46+AC46)/2)*AD56</f>
        <v>3541.6400732916236</v>
      </c>
      <c r="AE38" s="64">
        <f t="shared" ref="AE38:AF38" si="71">+((AE46+AD46)/2)*AE56</f>
        <v>3895.4863868652005</v>
      </c>
      <c r="AF38" s="64">
        <f t="shared" si="71"/>
        <v>4474.5349718241914</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1690.8032101097851</v>
      </c>
      <c r="Z39" s="99">
        <f t="shared" ref="Z39:AA39" si="72">+((Z48+Y48)/2)*Z58</f>
        <v>1780.3900800000006</v>
      </c>
      <c r="AA39" s="99">
        <f t="shared" si="72"/>
        <v>1988.0594624</v>
      </c>
      <c r="AB39" s="19"/>
      <c r="AC39" s="99">
        <f>+((AC48+AA48)/2)*AC58</f>
        <v>1697.0346943147133</v>
      </c>
      <c r="AD39" s="99">
        <f>+((AD48+AC48)/2)*AD58</f>
        <v>1845.0127198367318</v>
      </c>
      <c r="AE39" s="99">
        <f t="shared" ref="AE39:AF39" si="73">+((AE48+AD48)/2)*AE58</f>
        <v>2026.194091488001</v>
      </c>
      <c r="AF39" s="99">
        <f t="shared" si="73"/>
        <v>2350.9293216076803</v>
      </c>
      <c r="AG39" s="19"/>
    </row>
    <row r="40" spans="1:33" s="92" customFormat="1" outlineLevel="1" x14ac:dyDescent="0.3">
      <c r="A40" s="139"/>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17389.374827804466</v>
      </c>
      <c r="Z40" s="100">
        <f t="shared" ref="Z40:AA40" si="81">SUM(Z36:Z39)</f>
        <v>17905.713960500001</v>
      </c>
      <c r="AA40" s="100">
        <f t="shared" si="81"/>
        <v>21133.223286699998</v>
      </c>
      <c r="AB40" s="91"/>
      <c r="AC40" s="100">
        <f>SUM(AC36:AC39)</f>
        <v>18344.029979382187</v>
      </c>
      <c r="AD40" s="100">
        <f>SUM(AD36:AD39)</f>
        <v>19113.5886908174</v>
      </c>
      <c r="AE40" s="100">
        <f t="shared" ref="AE40:AF40" si="82">SUM(AE36:AE39)</f>
        <v>20439.423559509294</v>
      </c>
      <c r="AF40" s="100">
        <f t="shared" si="82"/>
        <v>25023.097418918969</v>
      </c>
      <c r="AG40" s="91"/>
    </row>
    <row r="41" spans="1:33" ht="17.399999999999999" x14ac:dyDescent="0.45">
      <c r="A41" s="138"/>
      <c r="B41" s="192" t="s">
        <v>86</v>
      </c>
      <c r="C41" s="193"/>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253.76000000000002</v>
      </c>
      <c r="Z42" s="29">
        <f t="shared" ref="Z42" si="84">U42*(1+Z43)</f>
        <v>259.35000000000002</v>
      </c>
      <c r="AA42" s="29">
        <f t="shared" ref="AA42" si="85">V42*(1+AA43)</f>
        <v>262.88</v>
      </c>
      <c r="AB42" s="19"/>
      <c r="AC42" s="29">
        <f>X42*(1+AC43)</f>
        <v>265.09038065843623</v>
      </c>
      <c r="AD42" s="29">
        <f t="shared" ref="AD42" si="86">Y42*(1+AD43)</f>
        <v>263.91040000000004</v>
      </c>
      <c r="AE42" s="29">
        <f t="shared" ref="AE42" si="87">Z42*(1+AE43)</f>
        <v>267.13050000000004</v>
      </c>
      <c r="AF42" s="29">
        <f t="shared" ref="AF42" si="88">AA42*(1+AF43)</f>
        <v>268.13760000000002</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0.04</v>
      </c>
      <c r="Z43" s="59">
        <v>0.05</v>
      </c>
      <c r="AA43" s="59">
        <v>0.06</v>
      </c>
      <c r="AB43" s="19"/>
      <c r="AC43" s="59">
        <f>AVERAGE(X43,Y43,Z43,AA43)</f>
        <v>4.7788065843621413E-2</v>
      </c>
      <c r="AD43" s="59">
        <v>0.04</v>
      </c>
      <c r="AE43" s="59">
        <v>0.03</v>
      </c>
      <c r="AF43" s="59">
        <v>0.02</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408.1</v>
      </c>
      <c r="Z44" s="29">
        <f t="shared" ref="Z44" si="90">U44*(1+Z45)</f>
        <v>414.09000000000003</v>
      </c>
      <c r="AA44" s="29">
        <f t="shared" ref="AA44" si="91">V44*(1+AA45)</f>
        <v>425.52000000000004</v>
      </c>
      <c r="AB44" s="19"/>
      <c r="AC44" s="29">
        <f>X44*(1+AC45)</f>
        <v>433.13010416666668</v>
      </c>
      <c r="AD44" s="29">
        <f t="shared" ref="AD44" si="92">Y44*(1+AD45)</f>
        <v>432.58600000000007</v>
      </c>
      <c r="AE44" s="29">
        <f t="shared" ref="AE44" si="93">Z44*(1+AE45)</f>
        <v>434.79450000000003</v>
      </c>
      <c r="AF44" s="29">
        <f t="shared" ref="AF44" si="94">AA44*(1+AF45)</f>
        <v>442.54080000000005</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0.06</v>
      </c>
      <c r="Z45" s="59">
        <v>7.0000000000000007E-2</v>
      </c>
      <c r="AA45" s="59">
        <v>0.08</v>
      </c>
      <c r="AB45" s="19"/>
      <c r="AC45" s="59">
        <f>AVERAGE(X45,Y45,Z45,AA45)</f>
        <v>6.682291666666669E-2</v>
      </c>
      <c r="AD45" s="59">
        <v>0.06</v>
      </c>
      <c r="AE45" s="59">
        <v>0.05</v>
      </c>
      <c r="AF45" s="59">
        <v>0.04</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1103.3000000000002</v>
      </c>
      <c r="Z46" s="29">
        <f t="shared" ref="Z46" si="96">U46*(1+Z47)</f>
        <v>1124.43</v>
      </c>
      <c r="AA46" s="29">
        <f t="shared" ref="AA46" si="97">V46*(1+AA47)</f>
        <v>1163.0080000000003</v>
      </c>
      <c r="AB46" s="22"/>
      <c r="AC46" s="29">
        <f>X46*(1+AC47)</f>
        <v>1214.3692380224261</v>
      </c>
      <c r="AD46" s="29">
        <f t="shared" ref="AD46" si="98">Y46*(1+AD47)</f>
        <v>1213.6300000000003</v>
      </c>
      <c r="AE46" s="29">
        <f t="shared" ref="AE46" si="99">Z46*(1+AE47)</f>
        <v>1225.6287000000002</v>
      </c>
      <c r="AF46" s="29">
        <f t="shared" ref="AF46" si="100">AA46*(1+AF47)</f>
        <v>1256.0486400000004</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v>0.1</v>
      </c>
      <c r="Z47" s="59">
        <v>0.11</v>
      </c>
      <c r="AA47" s="59">
        <v>0.12</v>
      </c>
      <c r="AB47" s="19"/>
      <c r="AC47" s="59">
        <f>AVERAGE(X47,Y47,Z47,AA47)</f>
        <v>0.11104230377166156</v>
      </c>
      <c r="AD47" s="59">
        <v>0.1</v>
      </c>
      <c r="AE47" s="59">
        <v>0.09</v>
      </c>
      <c r="AF47" s="59">
        <v>0.08</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868.0200000000001</v>
      </c>
      <c r="Z48" s="29">
        <f t="shared" ref="Z48" si="102">U48*(1+Z49)</f>
        <v>898.24000000000012</v>
      </c>
      <c r="AA48" s="29">
        <f t="shared" ref="AA48" si="103">V48*(1+AA49)</f>
        <v>923.66199999999992</v>
      </c>
      <c r="AB48" s="19"/>
      <c r="AC48" s="29">
        <f>X48*(1+AC49)</f>
        <v>950.58251302083329</v>
      </c>
      <c r="AD48" s="29">
        <f t="shared" ref="AD48" si="104">Y48*(1+AD49)</f>
        <v>963.50220000000024</v>
      </c>
      <c r="AE48" s="29">
        <f t="shared" ref="AE48" si="105">Z48*(1+AE49)</f>
        <v>988.06400000000019</v>
      </c>
      <c r="AF48" s="29">
        <f t="shared" ref="AF48" si="106">AA48*(1+AF49)</f>
        <v>1006.79158</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0.11</v>
      </c>
      <c r="Z49" s="59">
        <v>0.12</v>
      </c>
      <c r="AA49" s="59">
        <v>0.13</v>
      </c>
      <c r="AB49" s="19"/>
      <c r="AC49" s="59">
        <f>AVERAGE(X49,Y49,Z49,AA49)</f>
        <v>0.11701822916666668</v>
      </c>
      <c r="AD49" s="59">
        <v>0.11</v>
      </c>
      <c r="AE49" s="59">
        <v>0.1</v>
      </c>
      <c r="AF49" s="59">
        <v>0.09</v>
      </c>
      <c r="AG49" s="19"/>
    </row>
    <row r="50" spans="1:33" s="21" customFormat="1" outlineLevel="1" x14ac:dyDescent="0.3">
      <c r="A50" s="141"/>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2633.1800000000003</v>
      </c>
      <c r="Z50" s="40">
        <f t="shared" si="111"/>
        <v>2696.11</v>
      </c>
      <c r="AA50" s="40">
        <f t="shared" si="111"/>
        <v>2775.07</v>
      </c>
      <c r="AB50" s="95"/>
      <c r="AC50" s="40">
        <f>+AC42+AC44+AC46+AC48</f>
        <v>2863.1722358683623</v>
      </c>
      <c r="AD50" s="40">
        <f t="shared" ref="AD50:AF50" si="112">+AD42+AD44+AD46+AD48</f>
        <v>2873.6286000000009</v>
      </c>
      <c r="AE50" s="40">
        <f t="shared" si="112"/>
        <v>2915.6177000000007</v>
      </c>
      <c r="AF50" s="40">
        <f t="shared" si="112"/>
        <v>2973.5186200000003</v>
      </c>
      <c r="AG50" s="95"/>
    </row>
    <row r="51" spans="1:33" ht="17.399999999999999" x14ac:dyDescent="0.45">
      <c r="A51" s="138"/>
      <c r="B51" s="189" t="s">
        <v>87</v>
      </c>
      <c r="C51" s="190"/>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32.809214451560152</v>
      </c>
      <c r="Z52" s="45">
        <f t="shared" ref="Z52" si="114">U52*(1+Z53)</f>
        <v>33.513499999999993</v>
      </c>
      <c r="AA52" s="45">
        <f t="shared" ref="AA52" si="115">V52*(1+AA53)</f>
        <v>39.339499999999994</v>
      </c>
      <c r="AB52" s="19"/>
      <c r="AC52" s="45">
        <f>X52*(1+AC53)</f>
        <v>33.496400000000001</v>
      </c>
      <c r="AD52" s="45">
        <f t="shared" ref="AD52" si="116">Y52*(1+AD53)</f>
        <v>34.449675174138164</v>
      </c>
      <c r="AE52" s="45">
        <f t="shared" ref="AE52" si="117">Z52*(1+AE53)</f>
        <v>36.778726845845938</v>
      </c>
      <c r="AF52" s="45">
        <f t="shared" ref="AF52" si="118">AA52*(1+AF53)</f>
        <v>45.240424999999988</v>
      </c>
      <c r="AG52" s="19"/>
    </row>
    <row r="53" spans="1:33" ht="15.6" outlineLevel="1" x14ac:dyDescent="0.3">
      <c r="A53" s="138"/>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59">
        <f>AVERAGE(T53,U53,V53,X53)-22.8376632115546%</f>
        <v>-1.3849881227527894E-2</v>
      </c>
      <c r="Z53" s="59">
        <v>-0.03</v>
      </c>
      <c r="AA53" s="59">
        <v>-0.05</v>
      </c>
      <c r="AB53" s="19"/>
      <c r="AC53" s="59">
        <v>-0.02</v>
      </c>
      <c r="AD53" s="59">
        <v>0.05</v>
      </c>
      <c r="AE53" s="59">
        <f>AVERAGE(Z53,AA53,AC53,AD53)+10.9930195170482%</f>
        <v>9.7430195170482001E-2</v>
      </c>
      <c r="AF53" s="59">
        <v>0.15</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10.351121700441896</v>
      </c>
      <c r="Z54" s="45">
        <f t="shared" ref="Z54" si="125">U54*(1+Z55)</f>
        <v>10.145999999999999</v>
      </c>
      <c r="AA54" s="45">
        <f t="shared" ref="AA54" si="126">V54*(1+AA55)</f>
        <v>12.285299999999999</v>
      </c>
      <c r="AB54" s="19"/>
      <c r="AC54" s="45">
        <f>X54*(1+AC55)</f>
        <v>10.214399999999999</v>
      </c>
      <c r="AD54" s="45">
        <f t="shared" ref="AD54" si="127">Y54*(1+AD55)</f>
        <v>10.661655351455153</v>
      </c>
      <c r="AE54" s="45">
        <f t="shared" ref="AE54" si="128">Z54*(1+AE55)</f>
        <v>10.95768</v>
      </c>
      <c r="AF54" s="45">
        <f t="shared" ref="AF54" si="129">AA54*(1+AF55)</f>
        <v>13.882388999999998</v>
      </c>
      <c r="AG54" s="19"/>
    </row>
    <row r="55" spans="1:33" outlineLevel="1" x14ac:dyDescent="0.3">
      <c r="A55" s="138"/>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59">
        <f>AVERAGE(T55,U55,V55,X55)-22%</f>
        <v>-3.2605448556832145E-2</v>
      </c>
      <c r="Z55" s="59">
        <v>-0.05</v>
      </c>
      <c r="AA55" s="59">
        <v>-7.0000000000000007E-2</v>
      </c>
      <c r="AB55" s="19"/>
      <c r="AC55" s="59">
        <v>-0.04</v>
      </c>
      <c r="AD55" s="59">
        <v>0.03</v>
      </c>
      <c r="AE55" s="59">
        <v>0.08</v>
      </c>
      <c r="AF55" s="59">
        <v>0.13</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2.8884476362914882</v>
      </c>
      <c r="Z56" s="45">
        <f t="shared" ref="Z56" si="138">U56*(1+Z57)</f>
        <v>3.0131999999999999</v>
      </c>
      <c r="AA56" s="45">
        <f t="shared" ref="AA56" si="139">V56*(1+AA57)</f>
        <v>3.2486999999999999</v>
      </c>
      <c r="AB56" s="19"/>
      <c r="AC56" s="45">
        <f>X56*(1+AC57)</f>
        <v>2.8763999999999998</v>
      </c>
      <c r="AD56" s="45">
        <f t="shared" ref="AD56" si="140">Y56*(1+AD57)</f>
        <v>2.9173321126544032</v>
      </c>
      <c r="AE56" s="45">
        <f t="shared" ref="AE56" si="141">Z56*(1+AE57)</f>
        <v>3.1939920000000002</v>
      </c>
      <c r="AF56" s="45">
        <f t="shared" ref="AF56" si="142">AA56*(1+AF57)</f>
        <v>3.6060570000000003</v>
      </c>
      <c r="AG56" s="19"/>
    </row>
    <row r="57" spans="1:33" outlineLevel="1" x14ac:dyDescent="0.3">
      <c r="A57" s="138"/>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59">
        <f>AVERAGE(T57,U57,V57,X57)-22%</f>
        <v>-4.9852751219905261E-2</v>
      </c>
      <c r="Z57" s="59">
        <v>-7.0000000000000007E-2</v>
      </c>
      <c r="AA57" s="59">
        <v>-0.09</v>
      </c>
      <c r="AB57" s="19"/>
      <c r="AC57" s="59">
        <v>-0.06</v>
      </c>
      <c r="AD57" s="59">
        <v>0.01</v>
      </c>
      <c r="AE57" s="59">
        <v>0.06</v>
      </c>
      <c r="AF57" s="59">
        <v>0.11</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1.9671710743444348</v>
      </c>
      <c r="Z58" s="45">
        <f t="shared" ref="Z58" si="151">U58*(1+Z59)</f>
        <v>2.0160000000000005</v>
      </c>
      <c r="AA58" s="45">
        <f t="shared" ref="AA58" si="152">V58*(1+AA59)</f>
        <v>2.1823999999999999</v>
      </c>
      <c r="AB58" s="19"/>
      <c r="AC58" s="45">
        <f>X58*(1+AC59)</f>
        <v>1.8109</v>
      </c>
      <c r="AD58" s="45">
        <f t="shared" ref="AD58" si="153">Y58*(1+AD59)</f>
        <v>1.9278276528575462</v>
      </c>
      <c r="AE58" s="45">
        <f t="shared" ref="AE58" si="154">Z58*(1+AE59)</f>
        <v>2.0764800000000005</v>
      </c>
      <c r="AF58" s="45">
        <f t="shared" ref="AF58" si="155">AA58*(1+AF59)</f>
        <v>2.356992</v>
      </c>
      <c r="AG58" s="19"/>
    </row>
    <row r="59" spans="1:33" ht="16.2" outlineLevel="1" x14ac:dyDescent="0.45">
      <c r="A59" s="138"/>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59">
        <f>AVERAGE(T59,U59,V59,X59)-22%</f>
        <v>-7.6445505002612685E-2</v>
      </c>
      <c r="Z59" s="59">
        <v>-0.1</v>
      </c>
      <c r="AA59" s="59">
        <v>-0.12</v>
      </c>
      <c r="AB59" s="19"/>
      <c r="AC59" s="59">
        <v>-0.09</v>
      </c>
      <c r="AD59" s="59">
        <v>-0.02</v>
      </c>
      <c r="AE59" s="59">
        <v>0.03</v>
      </c>
      <c r="AF59" s="59">
        <v>0.08</v>
      </c>
      <c r="AG59" s="19"/>
    </row>
    <row r="60" spans="1:33" outlineLevel="1" x14ac:dyDescent="0.3">
      <c r="A60" s="138"/>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6.6420080393739198</v>
      </c>
      <c r="Z60" s="43">
        <f t="shared" ref="Z60:AA60" si="167">+Z40/((Y50+Z50)/2)</f>
        <v>6.7197371359036566</v>
      </c>
      <c r="AA60" s="43">
        <f t="shared" si="167"/>
        <v>7.7252889821574131</v>
      </c>
      <c r="AB60" s="19"/>
      <c r="AC60" s="43">
        <f>+AC40/((AA50+AC50)/2)</f>
        <v>6.5070031445915584</v>
      </c>
      <c r="AD60" s="43">
        <f>+AD40/((AC50+AD50)/2)</f>
        <v>6.6635008736273234</v>
      </c>
      <c r="AE60" s="43">
        <f t="shared" ref="AE60:AF60" si="168">+AE40/((AD50+AE50)/2)</f>
        <v>7.0611691057294586</v>
      </c>
      <c r="AF60" s="43">
        <f t="shared" si="168"/>
        <v>8.4980533848192401</v>
      </c>
      <c r="AG60" s="19"/>
    </row>
    <row r="61" spans="1:33" ht="17.399999999999999" x14ac:dyDescent="0.45">
      <c r="A61" s="138"/>
      <c r="B61" s="189" t="s">
        <v>26</v>
      </c>
      <c r="C61" s="190"/>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43"/>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38"/>
      <c r="B63" s="189" t="s">
        <v>16</v>
      </c>
      <c r="C63" s="190"/>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194" t="s">
        <v>101</v>
      </c>
      <c r="C64" s="195"/>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2.981018759945897E-2</v>
      </c>
      <c r="Z64" s="55">
        <f t="shared" si="175"/>
        <v>1.4373099960344415E-2</v>
      </c>
      <c r="AA64" s="55">
        <f t="shared" si="175"/>
        <v>2.4297166635043332E-3</v>
      </c>
      <c r="AB64" s="53">
        <f t="shared" si="175"/>
        <v>4.9058829582647956E-2</v>
      </c>
      <c r="AC64" s="55">
        <f t="shared" si="175"/>
        <v>3.4223937496881573E-2</v>
      </c>
      <c r="AD64" s="55">
        <f t="shared" si="175"/>
        <v>9.9153297923973094E-2</v>
      </c>
      <c r="AE64" s="55">
        <f t="shared" si="175"/>
        <v>0.14150285236314253</v>
      </c>
      <c r="AF64" s="55">
        <f t="shared" si="175"/>
        <v>0.18406440321231199</v>
      </c>
      <c r="AG64" s="53">
        <f t="shared" si="175"/>
        <v>0.11804477495853472</v>
      </c>
    </row>
    <row r="65" spans="1:33" s="42" customFormat="1" outlineLevel="1" x14ac:dyDescent="0.3">
      <c r="A65" s="145"/>
      <c r="B65" s="194" t="s">
        <v>102</v>
      </c>
      <c r="C65" s="195"/>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-1.9598870846001759E-2</v>
      </c>
      <c r="Z65" s="55">
        <f t="shared" si="179"/>
        <v>2.9692794468375139E-2</v>
      </c>
      <c r="AA65" s="55">
        <f t="shared" si="179"/>
        <v>0.18025024488383323</v>
      </c>
      <c r="AB65" s="53"/>
      <c r="AC65" s="55">
        <f>+AC13/AA13-1</f>
        <v>-0.13198144312766358</v>
      </c>
      <c r="AD65" s="55">
        <f t="shared" ref="AD65:AF65" si="180">+AD13/AC13-1</f>
        <v>4.1951452995887983E-2</v>
      </c>
      <c r="AE65" s="55">
        <f t="shared" si="180"/>
        <v>6.9366087663530029E-2</v>
      </c>
      <c r="AF65" s="55">
        <f t="shared" si="180"/>
        <v>0.22425651320666296</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17677.574827804467</v>
      </c>
      <c r="Z66" s="29">
        <f>+Z84+Z13</f>
        <v>18136.753960500002</v>
      </c>
      <c r="AA66" s="29">
        <f>+AA84+AA13</f>
        <v>21351.0712867</v>
      </c>
      <c r="AB66" s="30">
        <f>SUM(X66:AA66)</f>
        <v>75177.400075004465</v>
      </c>
      <c r="AC66" s="29">
        <f>+AC84+AC13</f>
        <v>18546.447579382188</v>
      </c>
      <c r="AD66" s="29">
        <f>+AD84+AD13</f>
        <v>19301.489810817398</v>
      </c>
      <c r="AE66" s="29">
        <f>+AE84+AE13</f>
        <v>20607.264903509295</v>
      </c>
      <c r="AF66" s="29">
        <f>+AF84+AF13</f>
        <v>25217.099434918968</v>
      </c>
      <c r="AG66" s="30">
        <f>SUM(AC66:AF66)</f>
        <v>83672.301728627848</v>
      </c>
    </row>
    <row r="67" spans="1:33" s="42" customFormat="1" outlineLevel="1" x14ac:dyDescent="0.3">
      <c r="A67" s="145"/>
      <c r="B67" s="194" t="s">
        <v>103</v>
      </c>
      <c r="C67" s="195"/>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4.687758070617476E-2</v>
      </c>
      <c r="Z67" s="55">
        <f t="shared" ref="Z67" si="183">+Z66/U13-1</f>
        <v>2.7461701818490836E-2</v>
      </c>
      <c r="AA67" s="55">
        <f t="shared" ref="AA67" si="184">+AA66/V13-1</f>
        <v>1.2763081619390881E-2</v>
      </c>
      <c r="AB67" s="147">
        <f>+AB66/W13-1</f>
        <v>6.3374684569422524E-2</v>
      </c>
      <c r="AC67" s="55">
        <f>+AC66/X13-1</f>
        <v>4.5636104154151536E-2</v>
      </c>
      <c r="AD67" s="55">
        <f t="shared" ref="AD67" si="185">+AD66/Y13-1</f>
        <v>0.10995881116758643</v>
      </c>
      <c r="AE67" s="55">
        <f t="shared" ref="AE67" si="186">+AE66/Z13-1</f>
        <v>0.1508764715536568</v>
      </c>
      <c r="AF67" s="55">
        <f t="shared" ref="AF67" si="187">+AF66/AA13-1</f>
        <v>0.19324435713453703</v>
      </c>
      <c r="AG67" s="147">
        <f>+AG66/AB13-1</f>
        <v>0.1281864713790839</v>
      </c>
    </row>
    <row r="68" spans="1:33" s="42" customFormat="1" outlineLevel="1" x14ac:dyDescent="0.3">
      <c r="A68" s="145"/>
      <c r="B68" s="194" t="s">
        <v>104</v>
      </c>
      <c r="C68" s="195"/>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60">
        <v>0.79800000000000004</v>
      </c>
      <c r="Z69" s="60">
        <v>0.79100000000000004</v>
      </c>
      <c r="AA69" s="60">
        <v>0.78400000000000003</v>
      </c>
      <c r="AB69" s="54">
        <f>+AB15/AB13</f>
        <v>0.79399096780666667</v>
      </c>
      <c r="AC69" s="60">
        <v>0.78700000000000003</v>
      </c>
      <c r="AD69" s="60">
        <v>0.79</v>
      </c>
      <c r="AE69" s="60">
        <v>0.79300000000000004</v>
      </c>
      <c r="AF69" s="60">
        <v>0.79300000000000004</v>
      </c>
      <c r="AG69" s="54">
        <f>+AG15/AG13</f>
        <v>0.79098113043877982</v>
      </c>
    </row>
    <row r="70" spans="1:33" s="42" customFormat="1" outlineLevel="1" x14ac:dyDescent="0.3">
      <c r="A70" s="145"/>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0.22800000000000001</v>
      </c>
      <c r="Z70" s="60">
        <v>0.22600000000000001</v>
      </c>
      <c r="AA70" s="60">
        <v>0.224</v>
      </c>
      <c r="AB70" s="54"/>
      <c r="AC70" s="60">
        <v>0.222</v>
      </c>
      <c r="AD70" s="60">
        <v>0.22</v>
      </c>
      <c r="AE70" s="60">
        <f t="shared" ref="AE70:AF70" si="196">AD70</f>
        <v>0.22</v>
      </c>
      <c r="AF70" s="60">
        <f t="shared" si="196"/>
        <v>0.22</v>
      </c>
      <c r="AG70" s="54"/>
    </row>
    <row r="71" spans="1:33" s="42" customFormat="1" outlineLevel="1" x14ac:dyDescent="0.3">
      <c r="A71" s="145"/>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60">
        <v>0.17</v>
      </c>
      <c r="Z71" s="60">
        <v>0.18</v>
      </c>
      <c r="AA71" s="60">
        <v>0.19</v>
      </c>
      <c r="AB71" s="165"/>
      <c r="AC71" s="60">
        <v>0.2</v>
      </c>
      <c r="AD71" s="60">
        <v>0.2</v>
      </c>
      <c r="AE71" s="60">
        <v>0.2</v>
      </c>
      <c r="AF71" s="60">
        <v>0.2</v>
      </c>
      <c r="AG71" s="54"/>
    </row>
    <row r="72" spans="1:33" s="42" customFormat="1" outlineLevel="1" x14ac:dyDescent="0.3">
      <c r="A72" s="145"/>
      <c r="B72" s="70" t="s">
        <v>94</v>
      </c>
      <c r="C72" s="71"/>
      <c r="D72" s="55">
        <f t="shared" ref="D72:R72" si="201">+D19/D13</f>
        <v>6.8004459308807136E-2</v>
      </c>
      <c r="E72" s="55">
        <f t="shared" si="201"/>
        <v>6.401491609695463E-2</v>
      </c>
      <c r="F72" s="55">
        <f t="shared" si="201"/>
        <v>6.2473256311510482E-2</v>
      </c>
      <c r="G72" s="55">
        <f t="shared" si="201"/>
        <v>5.8462935634010671E-2</v>
      </c>
      <c r="H72" s="53">
        <f t="shared" si="201"/>
        <v>6.2631159997105432E-2</v>
      </c>
      <c r="I72" s="55">
        <f t="shared" si="201"/>
        <v>8.1548804780876491E-2</v>
      </c>
      <c r="J72" s="55">
        <f t="shared" si="201"/>
        <v>6.8662160712369913E-2</v>
      </c>
      <c r="K72" s="55">
        <f t="shared" si="201"/>
        <v>5.1897753679318356E-2</v>
      </c>
      <c r="L72" s="55">
        <f t="shared" si="201"/>
        <v>5.2883132901634287E-2</v>
      </c>
      <c r="M72" s="53">
        <f t="shared" si="201"/>
        <v>6.1914249870858237E-2</v>
      </c>
      <c r="N72" s="55">
        <f t="shared" si="201"/>
        <v>6.3262577302356682E-2</v>
      </c>
      <c r="O72" s="55">
        <f t="shared" si="201"/>
        <v>5.865013982314262E-2</v>
      </c>
      <c r="P72" s="55">
        <f t="shared" si="201"/>
        <v>6.8696729074087567E-2</v>
      </c>
      <c r="Q72" s="55">
        <f t="shared" si="201"/>
        <v>5.7703677426983561E-2</v>
      </c>
      <c r="R72" s="54">
        <f t="shared" si="201"/>
        <v>6.1821698484902751E-2</v>
      </c>
      <c r="S72" s="55">
        <f t="shared" ref="S72:T72" si="202">+S19/S13</f>
        <v>0.26954964515487168</v>
      </c>
      <c r="T72" s="55">
        <f t="shared" si="202"/>
        <v>0.19092739547554186</v>
      </c>
      <c r="U72" s="55">
        <f t="shared" ref="U72:V72" si="203">+U19/U13</f>
        <v>7.6365284387038296E-2</v>
      </c>
      <c r="V72" s="55">
        <f t="shared" si="203"/>
        <v>8.675647471776872E-2</v>
      </c>
      <c r="W72" s="147"/>
      <c r="X72" s="55">
        <f t="shared" ref="X72" si="204">+X19/X13</f>
        <v>8.9248463663528219E-2</v>
      </c>
      <c r="Y72" s="60">
        <v>0.09</v>
      </c>
      <c r="Z72" s="60">
        <v>9.5000000000000001E-2</v>
      </c>
      <c r="AA72" s="60">
        <v>0.1</v>
      </c>
      <c r="AB72" s="54"/>
      <c r="AC72" s="60">
        <v>0.1</v>
      </c>
      <c r="AD72" s="60">
        <v>0.1</v>
      </c>
      <c r="AE72" s="60">
        <v>0.1</v>
      </c>
      <c r="AF72" s="60">
        <v>0.1</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51982.978542431076</v>
      </c>
      <c r="AC73" s="51"/>
      <c r="AD73" s="51"/>
      <c r="AE73" s="51"/>
      <c r="AF73" s="51"/>
      <c r="AG73" s="30">
        <f>AG14+AG17+AG18+AG19</f>
        <v>60487.034530459947</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-0.74312969897486503</v>
      </c>
      <c r="Z74" s="55">
        <f>+(Z14+Z17+Z18+Z19)/(X14+X17+X18+X19)-1</f>
        <v>7.3375288074552625E-2</v>
      </c>
      <c r="AA74" s="55">
        <f>+(AA14+AA17+AA18+AA19)/(Y14+Y17+Y18+Y19)-1</f>
        <v>0.2857470669033122</v>
      </c>
      <c r="AB74" s="53">
        <f>+(AB14+AB17+AB18+AB19)/(W14+W17+W18+W19)-1</f>
        <v>0.11286374820558498</v>
      </c>
      <c r="AC74" s="55">
        <f>+(AC14+AC17+AC18+AC19)/(AA14+AA17+AA18+AA19)-1</f>
        <v>-0.126036110546346</v>
      </c>
      <c r="AD74" s="55">
        <f>+(AD14+AD17+AD18+AD19)/(AB14+AB17+AB18+AB19)-1</f>
        <v>-0.73158675905984039</v>
      </c>
      <c r="AE74" s="55">
        <f>+(AE14+AE17+AE18+AE19)/(AC14+AC17+AC18+AC19)-1</f>
        <v>0.10209990203560526</v>
      </c>
      <c r="AF74" s="55">
        <f>+(AF14+AF17+AF18+AF19)/(AD14+AD17+AD18+AD19)-1</f>
        <v>0.30379821262786533</v>
      </c>
      <c r="AG74" s="53">
        <f>+(AG14+AG17+AG18+AG19)/(AB14+AB17+AB18+AB19)-1</f>
        <v>0.1635930880930081</v>
      </c>
    </row>
    <row r="75" spans="1:33" s="42" customFormat="1" outlineLevel="1" x14ac:dyDescent="0.3">
      <c r="A75" s="145"/>
      <c r="B75" s="194" t="s">
        <v>4</v>
      </c>
      <c r="C75" s="195"/>
      <c r="D75" s="51">
        <f t="shared" ref="D75:AG75" si="205">D21/D13</f>
        <v>0.37328130806391674</v>
      </c>
      <c r="E75" s="51">
        <f t="shared" si="205"/>
        <v>0.42666252330640148</v>
      </c>
      <c r="F75" s="51">
        <f t="shared" si="205"/>
        <v>0.445300242476109</v>
      </c>
      <c r="G75" s="51">
        <f t="shared" si="205"/>
        <v>0.51651719831990006</v>
      </c>
      <c r="H75" s="54">
        <f t="shared" si="205"/>
        <v>0.44963456111151312</v>
      </c>
      <c r="I75" s="51">
        <f t="shared" si="205"/>
        <v>0.41421812749003983</v>
      </c>
      <c r="J75" s="51">
        <f t="shared" si="205"/>
        <v>0.47215963952365625</v>
      </c>
      <c r="K75" s="51">
        <f t="shared" si="205"/>
        <v>0.49593338497288925</v>
      </c>
      <c r="L75" s="51">
        <f t="shared" si="205"/>
        <v>0.56675917360468697</v>
      </c>
      <c r="M75" s="54">
        <f t="shared" si="205"/>
        <v>0.49693749538779425</v>
      </c>
      <c r="N75" s="51">
        <f t="shared" si="205"/>
        <v>0.45537355841551064</v>
      </c>
      <c r="O75" s="51">
        <f t="shared" si="205"/>
        <v>0.44312599198851182</v>
      </c>
      <c r="P75" s="51">
        <f t="shared" si="205"/>
        <v>0.42114081736723247</v>
      </c>
      <c r="Q75" s="51">
        <f t="shared" si="205"/>
        <v>0.46233889085964291</v>
      </c>
      <c r="R75" s="54">
        <f t="shared" si="205"/>
        <v>0.44616569361366809</v>
      </c>
      <c r="S75" s="51">
        <f t="shared" si="205"/>
        <v>0.22000397957153281</v>
      </c>
      <c r="T75" s="51">
        <f t="shared" si="205"/>
        <v>0.27395475541869002</v>
      </c>
      <c r="U75" s="51">
        <f t="shared" si="205"/>
        <v>0.40703602991162474</v>
      </c>
      <c r="V75" s="51">
        <f t="shared" si="205"/>
        <v>0.42016886443411439</v>
      </c>
      <c r="W75" s="147">
        <f t="shared" si="205"/>
        <v>0.33927889443682191</v>
      </c>
      <c r="X75" s="51">
        <f t="shared" si="205"/>
        <v>0.33224333314540228</v>
      </c>
      <c r="Y75" s="51">
        <f t="shared" si="205"/>
        <v>0.31000000000000005</v>
      </c>
      <c r="Z75" s="51">
        <f t="shared" si="205"/>
        <v>0.29000000000000004</v>
      </c>
      <c r="AA75" s="51">
        <f t="shared" si="205"/>
        <v>0.27</v>
      </c>
      <c r="AB75" s="54">
        <f t="shared" si="205"/>
        <v>0.2990931058193359</v>
      </c>
      <c r="AC75" s="51">
        <f t="shared" si="205"/>
        <v>0.26499999999999996</v>
      </c>
      <c r="AD75" s="51">
        <f t="shared" si="205"/>
        <v>0.27</v>
      </c>
      <c r="AE75" s="51">
        <f t="shared" si="205"/>
        <v>0.27299999999999991</v>
      </c>
      <c r="AF75" s="51">
        <f t="shared" si="205"/>
        <v>0.27299999999999996</v>
      </c>
      <c r="AG75" s="54">
        <f t="shared" si="205"/>
        <v>0.27053867990608388</v>
      </c>
    </row>
    <row r="76" spans="1:33" s="42" customFormat="1" outlineLevel="1" x14ac:dyDescent="0.3">
      <c r="A76" s="145"/>
      <c r="B76" s="194" t="s">
        <v>2</v>
      </c>
      <c r="C76" s="195"/>
      <c r="D76" s="51">
        <f t="shared" ref="D76:X76" si="206">-D24/D23</f>
        <v>0.26876513317191281</v>
      </c>
      <c r="E76" s="51">
        <f t="shared" si="206"/>
        <v>0.25704989154013014</v>
      </c>
      <c r="F76" s="51">
        <f t="shared" si="206"/>
        <v>0.24928999684443043</v>
      </c>
      <c r="G76" s="51">
        <f t="shared" si="206"/>
        <v>5.422753430721558E-2</v>
      </c>
      <c r="H76" s="54">
        <f t="shared" si="206"/>
        <v>0.18381530595941845</v>
      </c>
      <c r="I76" s="51">
        <f t="shared" si="206"/>
        <v>0.10093896713615023</v>
      </c>
      <c r="J76" s="51">
        <f t="shared" si="206"/>
        <v>0.13235294117647059</v>
      </c>
      <c r="K76" s="51">
        <f t="shared" si="206"/>
        <v>0.10103132161955691</v>
      </c>
      <c r="L76" s="51">
        <f t="shared" si="206"/>
        <v>0.42803537925489143</v>
      </c>
      <c r="M76" s="54">
        <f t="shared" si="206"/>
        <v>0.22632805671554823</v>
      </c>
      <c r="N76" s="51">
        <f t="shared" si="206"/>
        <v>0.11087344028520499</v>
      </c>
      <c r="O76" s="51">
        <f t="shared" si="206"/>
        <v>0.12985685071574643</v>
      </c>
      <c r="P76" s="51">
        <f t="shared" si="206"/>
        <v>0.13108930987821379</v>
      </c>
      <c r="Q76" s="51">
        <f t="shared" si="206"/>
        <v>0.13662024840045164</v>
      </c>
      <c r="R76" s="54">
        <f t="shared" si="206"/>
        <v>0.12807065967430306</v>
      </c>
      <c r="S76" s="144">
        <f t="shared" si="206"/>
        <v>0.30241240666283747</v>
      </c>
      <c r="T76" s="51">
        <f t="shared" si="206"/>
        <v>0.45860927152317882</v>
      </c>
      <c r="U76" s="51">
        <f t="shared" si="206"/>
        <v>0.16891799699822621</v>
      </c>
      <c r="V76" s="51">
        <f t="shared" si="206"/>
        <v>0.19849492856363835</v>
      </c>
      <c r="W76" s="147">
        <f t="shared" si="206"/>
        <v>0.25499758181525067</v>
      </c>
      <c r="X76" s="144">
        <f t="shared" si="206"/>
        <v>0.16362395495649207</v>
      </c>
      <c r="Y76" s="59">
        <v>0.18</v>
      </c>
      <c r="Z76" s="59">
        <v>0.18</v>
      </c>
      <c r="AA76" s="59">
        <v>0.18</v>
      </c>
      <c r="AB76" s="166">
        <f>-AB24/AB23</f>
        <v>0.1757527166227052</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0.18058200224290438</v>
      </c>
    </row>
    <row r="77" spans="1:33" ht="17.399999999999999" x14ac:dyDescent="0.45">
      <c r="A77" s="138"/>
      <c r="B77" s="189" t="s">
        <v>18</v>
      </c>
      <c r="C77" s="190"/>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194" t="s">
        <v>12</v>
      </c>
      <c r="C78" s="195"/>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7">AVERAGE(T78,U78,V78,X78)</f>
        <v>1.7723909360243817E-3</v>
      </c>
      <c r="Z78" s="60">
        <f t="shared" ref="Z78:Z79" si="208">AVERAGE(U78,V78,X78,Y78)</f>
        <v>1.7638955327755751E-3</v>
      </c>
      <c r="AA78" s="60">
        <f t="shared" ref="AA78:AA79" si="209">AVERAGE(V78,X78,Y78,Z78)</f>
        <v>1.7617871042356799E-3</v>
      </c>
      <c r="AB78" s="23"/>
      <c r="AC78" s="60">
        <f t="shared" ref="AC78:AC79" si="210">AVERAGE(X78,Y78,Z78,AA78)</f>
        <v>1.6135863680311483E-3</v>
      </c>
      <c r="AD78" s="60">
        <f t="shared" ref="AD78:AD79" si="211">AVERAGE(Y78,Z78,AA78,AC78)</f>
        <v>1.7279149852666962E-3</v>
      </c>
      <c r="AE78" s="60">
        <f t="shared" ref="AE78:AE79" si="212">AVERAGE(Z78,AA78,AC78,AD78)</f>
        <v>1.7167959975772748E-3</v>
      </c>
      <c r="AF78" s="60">
        <f t="shared" ref="AF78:AF79" si="213">AVERAGE(AA78,AC78,AD78,AE78)</f>
        <v>1.7050211137776996E-3</v>
      </c>
      <c r="AG78" s="23"/>
    </row>
    <row r="79" spans="1:33" outlineLevel="1" x14ac:dyDescent="0.3">
      <c r="A79" s="138"/>
      <c r="B79" s="194" t="s">
        <v>13</v>
      </c>
      <c r="C79" s="195"/>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7"/>
        <v>2.1111956602481441E-3</v>
      </c>
      <c r="Z79" s="60">
        <f t="shared" si="208"/>
        <v>1.5794790646792983E-3</v>
      </c>
      <c r="AA79" s="60">
        <f t="shared" si="209"/>
        <v>1.534348830849127E-3</v>
      </c>
      <c r="AB79" s="23"/>
      <c r="AC79" s="60">
        <f t="shared" si="210"/>
        <v>8.114642222774816E-4</v>
      </c>
      <c r="AD79" s="60">
        <f t="shared" si="211"/>
        <v>1.5091219445135127E-3</v>
      </c>
      <c r="AE79" s="60">
        <f t="shared" si="212"/>
        <v>1.358603515579855E-3</v>
      </c>
      <c r="AF79" s="60">
        <f t="shared" si="213"/>
        <v>1.3033846283049941E-3</v>
      </c>
      <c r="AG79" s="23"/>
    </row>
    <row r="80" spans="1:33" outlineLevel="1" x14ac:dyDescent="0.3">
      <c r="A80" s="138"/>
      <c r="B80" s="194" t="s">
        <v>5</v>
      </c>
      <c r="C80" s="195"/>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235</v>
      </c>
      <c r="Z80" s="63">
        <f>Y80</f>
        <v>235</v>
      </c>
      <c r="AA80" s="63">
        <f>Z80</f>
        <v>235</v>
      </c>
      <c r="AB80" s="62"/>
      <c r="AC80" s="63">
        <f>AA80</f>
        <v>235</v>
      </c>
      <c r="AD80" s="63">
        <f>AC80</f>
        <v>235</v>
      </c>
      <c r="AE80" s="63">
        <f>AD80</f>
        <v>235</v>
      </c>
      <c r="AF80" s="63">
        <f>AE80</f>
        <v>235</v>
      </c>
      <c r="AG80" s="62"/>
    </row>
    <row r="81" spans="1:33" outlineLevel="1" x14ac:dyDescent="0.3">
      <c r="A81" s="138"/>
      <c r="B81" s="194" t="s">
        <v>6</v>
      </c>
      <c r="C81" s="195"/>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38"/>
      <c r="B82" s="198" t="s">
        <v>17</v>
      </c>
      <c r="C82" s="199"/>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5.1268262021276598</v>
      </c>
      <c r="Z82" s="66">
        <f>IF((Z81)&gt;0,(Z81/Z80),0)</f>
        <v>5.2116061781914897</v>
      </c>
      <c r="AA82" s="66">
        <f>IF((AA81)&gt;0,(AA81/AA80),0)</f>
        <v>5.2904145312499997</v>
      </c>
      <c r="AB82" s="101">
        <f>+SUM(X82:AA82)</f>
        <v>21.928846911569153</v>
      </c>
      <c r="AC82" s="66">
        <f>IF((AC81)&gt;0,(AC81/AC80),0)</f>
        <v>5.2280368874667555</v>
      </c>
      <c r="AD82" s="66">
        <f>IF((AD81)&gt;0,(AD81/AD80),0)</f>
        <v>5.2142209497589764</v>
      </c>
      <c r="AE82" s="66">
        <f>IF((AE81)&gt;0,(AE81/AE80),0)</f>
        <v>5.236069636666806</v>
      </c>
      <c r="AF82" s="66">
        <f>IF((AF81)&gt;0,(AF81/AF80),0)</f>
        <v>5.2421855012856344</v>
      </c>
      <c r="AG82" s="101">
        <f>+SUM(AC82:AF82)</f>
        <v>20.92051297517817</v>
      </c>
    </row>
    <row r="83" spans="1:33" ht="17.399999999999999" x14ac:dyDescent="0.45">
      <c r="A83" s="138"/>
      <c r="B83" s="189" t="s">
        <v>24</v>
      </c>
      <c r="C83" s="190"/>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8"/>
      <c r="B84" s="194" t="s">
        <v>95</v>
      </c>
      <c r="C84" s="195"/>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4">SUM(S84:V84)</f>
        <v>1669</v>
      </c>
      <c r="X84" s="133">
        <v>275</v>
      </c>
      <c r="Y84" s="58">
        <f>AVERAGE(X84,V84,U84,T84,)</f>
        <v>288.2</v>
      </c>
      <c r="Z84" s="58">
        <f>AVERAGE(Y84,X84,V84,U84,)</f>
        <v>231.04000000000002</v>
      </c>
      <c r="AA84" s="58">
        <f>AVERAGE(Z84,Y84,X84,V84,)</f>
        <v>217.84800000000001</v>
      </c>
      <c r="AB84" s="30">
        <f t="shared" ref="AB84" si="215">SUM(X84:AA84)</f>
        <v>1012.088</v>
      </c>
      <c r="AC84" s="58">
        <f>AVERAGE(AA84,Z84,Y84,X84,)</f>
        <v>202.41759999999999</v>
      </c>
      <c r="AD84" s="58">
        <f>AVERAGE(AC84,AA84,Z84,Y84,)</f>
        <v>187.90111999999999</v>
      </c>
      <c r="AE84" s="58">
        <f>AVERAGE(AD84,AC84,AA84,Z84,)</f>
        <v>167.84134399999999</v>
      </c>
      <c r="AF84" s="58">
        <f>AVERAGE(AE84,AD84,AC84,AA84)</f>
        <v>194.00201599999997</v>
      </c>
      <c r="AG84" s="30">
        <f t="shared" ref="AG84" si="216">SUM(AC84:AF84)</f>
        <v>752.16207999999983</v>
      </c>
    </row>
    <row r="85" spans="1:33" ht="17.399999999999999" x14ac:dyDescent="0.45">
      <c r="A85" s="138"/>
      <c r="B85" s="189" t="s">
        <v>96</v>
      </c>
      <c r="C85" s="190"/>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7">SUM(N87:Q87)</f>
        <v>3022</v>
      </c>
      <c r="S87" s="133">
        <v>723</v>
      </c>
      <c r="T87" s="133">
        <v>927</v>
      </c>
      <c r="U87" s="133">
        <v>907</v>
      </c>
      <c r="V87" s="133">
        <f>3488-U87-T87-S87</f>
        <v>931</v>
      </c>
      <c r="W87" s="30">
        <f t="shared" ref="W87:W89" si="218">SUM(S87:V87)</f>
        <v>3488</v>
      </c>
      <c r="X87" s="133">
        <v>999</v>
      </c>
      <c r="Y87" s="58">
        <f t="shared" ref="Y87:Y89" si="219">AVERAGE(T87,U87,V87,X87)</f>
        <v>941</v>
      </c>
      <c r="Z87" s="58">
        <f t="shared" ref="Z87:Z89" si="220">AVERAGE(U87,V87,X87,Y87)</f>
        <v>944.5</v>
      </c>
      <c r="AA87" s="58">
        <f t="shared" ref="AA87:AA89" si="221">AVERAGE(V87,X87,Y87,Z87)</f>
        <v>953.875</v>
      </c>
      <c r="AB87" s="30">
        <f t="shared" ref="AB87:AB89" si="222">SUM(X87:AA87)</f>
        <v>3838.375</v>
      </c>
      <c r="AC87" s="58">
        <f t="shared" ref="AC87:AC89" si="223">AVERAGE(X87,Y87,Z87,AA87)</f>
        <v>959.59375</v>
      </c>
      <c r="AD87" s="58">
        <f t="shared" ref="AD87:AD89" si="224">AVERAGE(Y87,Z87,AA87,AC87)</f>
        <v>949.7421875</v>
      </c>
      <c r="AE87" s="58">
        <f t="shared" ref="AE87:AE89" si="225">AVERAGE(Z87,AA87,AC87,AD87)</f>
        <v>951.927734375</v>
      </c>
      <c r="AF87" s="58">
        <f t="shared" ref="AF87:AF89" si="226">AVERAGE(AA87,AC87,AD87,AE87)</f>
        <v>953.78466796875</v>
      </c>
      <c r="AG87" s="30">
        <f t="shared" ref="AG87:AG89" si="227">SUM(AC87:AF87)</f>
        <v>3815.04833984375</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7"/>
        <v>511</v>
      </c>
      <c r="S88" s="133">
        <v>113</v>
      </c>
      <c r="T88" s="133">
        <v>160</v>
      </c>
      <c r="U88" s="133">
        <v>148</v>
      </c>
      <c r="V88" s="133">
        <f>569-U88-T88-S88</f>
        <v>148</v>
      </c>
      <c r="W88" s="30">
        <f t="shared" si="218"/>
        <v>569</v>
      </c>
      <c r="X88" s="133">
        <v>149</v>
      </c>
      <c r="Y88" s="58">
        <f t="shared" si="219"/>
        <v>151.25</v>
      </c>
      <c r="Z88" s="58">
        <f t="shared" si="220"/>
        <v>149.0625</v>
      </c>
      <c r="AA88" s="58">
        <f t="shared" si="221"/>
        <v>149.328125</v>
      </c>
      <c r="AB88" s="30">
        <f t="shared" si="222"/>
        <v>598.640625</v>
      </c>
      <c r="AC88" s="58">
        <f t="shared" si="223"/>
        <v>149.66015625</v>
      </c>
      <c r="AD88" s="58">
        <f t="shared" si="224"/>
        <v>149.8251953125</v>
      </c>
      <c r="AE88" s="58">
        <f t="shared" si="225"/>
        <v>149.468994140625</v>
      </c>
      <c r="AF88" s="58">
        <f t="shared" si="226"/>
        <v>149.57061767578125</v>
      </c>
      <c r="AG88" s="30">
        <f t="shared" si="227"/>
        <v>598.52496337890625</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7"/>
        <v>335</v>
      </c>
      <c r="S89" s="149">
        <v>87</v>
      </c>
      <c r="T89" s="157">
        <v>107</v>
      </c>
      <c r="U89" s="157">
        <v>103</v>
      </c>
      <c r="V89" s="162">
        <f>402-U89-T89-S89</f>
        <v>105</v>
      </c>
      <c r="W89" s="68">
        <f t="shared" si="218"/>
        <v>402</v>
      </c>
      <c r="X89" s="149">
        <v>93</v>
      </c>
      <c r="Y89" s="77">
        <f t="shared" si="219"/>
        <v>102</v>
      </c>
      <c r="Z89" s="77">
        <f t="shared" si="220"/>
        <v>100.75</v>
      </c>
      <c r="AA89" s="106">
        <f t="shared" si="221"/>
        <v>100.1875</v>
      </c>
      <c r="AB89" s="68">
        <f t="shared" si="222"/>
        <v>395.9375</v>
      </c>
      <c r="AC89" s="105">
        <f t="shared" si="223"/>
        <v>98.984375</v>
      </c>
      <c r="AD89" s="77">
        <f t="shared" si="224"/>
        <v>100.48046875</v>
      </c>
      <c r="AE89" s="77">
        <f t="shared" si="225"/>
        <v>100.1005859375</v>
      </c>
      <c r="AF89" s="106">
        <f t="shared" si="226"/>
        <v>99.938232421875</v>
      </c>
      <c r="AG89" s="68">
        <f t="shared" si="227"/>
        <v>399.503662109375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14"/>
      <c r="I7" s="214"/>
      <c r="J7" s="214"/>
      <c r="K7" s="214"/>
      <c r="L7" s="214"/>
      <c r="M7" s="214"/>
      <c r="N7" s="214"/>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2020-07-25T19:57:34Z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