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27E8024D-213C-43E3-89F2-2D4D6A2E11B3}" xr6:coauthVersionLast="45" xr6:coauthVersionMax="45" xr10:uidLastSave="{00000000-0000-0000-0000-000000000000}"/>
  <bookViews>
    <workbookView xWindow="24720" yWindow="4065" windowWidth="25890" windowHeight="16455"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0" i="3" l="1"/>
  <c r="Z22" i="3"/>
  <c r="AA22"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2" i="3"/>
  <c r="Y36" i="3"/>
  <c r="T45" i="3"/>
  <c r="U45" i="3"/>
  <c r="V45" i="3"/>
  <c r="X45" i="3"/>
  <c r="Y44" i="3"/>
  <c r="T55" i="3"/>
  <c r="U55" i="3"/>
  <c r="V55" i="3"/>
  <c r="X55" i="3"/>
  <c r="Y54" i="3"/>
  <c r="Y37" i="3"/>
  <c r="T47" i="3"/>
  <c r="U47" i="3"/>
  <c r="V47" i="3"/>
  <c r="X47" i="3"/>
  <c r="Y46" i="3"/>
  <c r="T57" i="3"/>
  <c r="U57" i="3"/>
  <c r="V57" i="3"/>
  <c r="X57" i="3"/>
  <c r="Y56" i="3"/>
  <c r="Y38" i="3"/>
  <c r="T49" i="3"/>
  <c r="U49" i="3"/>
  <c r="V49" i="3"/>
  <c r="X49" i="3"/>
  <c r="Y48" i="3"/>
  <c r="T59" i="3"/>
  <c r="U59" i="3"/>
  <c r="V59" i="3"/>
  <c r="X59" i="3"/>
  <c r="Y58" i="3"/>
  <c r="Y39" i="3"/>
  <c r="Y40" i="3"/>
  <c r="Y13" i="3"/>
  <c r="Y14" i="3"/>
  <c r="Y15" i="3"/>
  <c r="Y17" i="3"/>
  <c r="Y18" i="3"/>
  <c r="Y19" i="3"/>
  <c r="Y20" i="3"/>
  <c r="Y21" i="3"/>
  <c r="Y22" i="3"/>
  <c r="Y23" i="3"/>
  <c r="Y24" i="3"/>
  <c r="Y25" i="3"/>
  <c r="Z81" i="3"/>
  <c r="Z43" i="3"/>
  <c r="Z42" i="3"/>
  <c r="Z52" i="3"/>
  <c r="Z36" i="3"/>
  <c r="Z45" i="3"/>
  <c r="Z44" i="3"/>
  <c r="Z55" i="3"/>
  <c r="Z54" i="3"/>
  <c r="Z37" i="3"/>
  <c r="Z47" i="3"/>
  <c r="Z46" i="3"/>
  <c r="Z56" i="3"/>
  <c r="Z38" i="3"/>
  <c r="Z49" i="3"/>
  <c r="Z48" i="3"/>
  <c r="Z59" i="3"/>
  <c r="Z58" i="3"/>
  <c r="Z39" i="3"/>
  <c r="Z40" i="3"/>
  <c r="Z13" i="3"/>
  <c r="Z14" i="3"/>
  <c r="Z15" i="3"/>
  <c r="Z17" i="3"/>
  <c r="Z18" i="3"/>
  <c r="Z19" i="3"/>
  <c r="Z20" i="3"/>
  <c r="Z21" i="3"/>
  <c r="Z23" i="3"/>
  <c r="Z24" i="3"/>
  <c r="Z25" i="3"/>
  <c r="AA81" i="3"/>
  <c r="AA43" i="3"/>
  <c r="AA42" i="3"/>
  <c r="AA53" i="3"/>
  <c r="AA52" i="3"/>
  <c r="AA36" i="3"/>
  <c r="AA45" i="3"/>
  <c r="AA44" i="3"/>
  <c r="AA55" i="3"/>
  <c r="AA54" i="3"/>
  <c r="AA37" i="3"/>
  <c r="AA47" i="3"/>
  <c r="AA46" i="3"/>
  <c r="AA57" i="3"/>
  <c r="AA56" i="3"/>
  <c r="AA38" i="3"/>
  <c r="AA48" i="3"/>
  <c r="AA59" i="3"/>
  <c r="AA58" i="3"/>
  <c r="AA39" i="3"/>
  <c r="AA40" i="3"/>
  <c r="AA13" i="3"/>
  <c r="AA14" i="3"/>
  <c r="AA15" i="3"/>
  <c r="AA17" i="3"/>
  <c r="AA18" i="3"/>
  <c r="AA19" i="3"/>
  <c r="AA20" i="3"/>
  <c r="AA21" i="3"/>
  <c r="AA23" i="3"/>
  <c r="AA24" i="3"/>
  <c r="AA25" i="3"/>
  <c r="AC81" i="3"/>
  <c r="AC43" i="3"/>
  <c r="AC42" i="3"/>
  <c r="AC53" i="3"/>
  <c r="AC52" i="3"/>
  <c r="AC36" i="3"/>
  <c r="AC44" i="3"/>
  <c r="AC54" i="3"/>
  <c r="AC37" i="3"/>
  <c r="AC46" i="3"/>
  <c r="AC56" i="3"/>
  <c r="AC38" i="3"/>
  <c r="AC48" i="3"/>
  <c r="AC59" i="3"/>
  <c r="AC58" i="3"/>
  <c r="AC39" i="3"/>
  <c r="AC40" i="3"/>
  <c r="AC13" i="3"/>
  <c r="AC14" i="3"/>
  <c r="AC15" i="3"/>
  <c r="AC17" i="3"/>
  <c r="AC18" i="3"/>
  <c r="AC19" i="3"/>
  <c r="AC20" i="3"/>
  <c r="AC21" i="3"/>
  <c r="AC22" i="3"/>
  <c r="AC23" i="3"/>
  <c r="X76" i="3"/>
  <c r="AC76" i="3"/>
  <c r="AC24" i="3"/>
  <c r="AC25" i="3"/>
  <c r="AD81" i="3"/>
  <c r="AD43" i="3"/>
  <c r="AD42" i="3"/>
  <c r="AD52" i="3"/>
  <c r="AD36" i="3"/>
  <c r="AD45" i="3"/>
  <c r="AD44" i="3"/>
  <c r="AD55" i="3"/>
  <c r="AD54" i="3"/>
  <c r="AD37" i="3"/>
  <c r="AD47" i="3"/>
  <c r="AD46" i="3"/>
  <c r="AD57" i="3"/>
  <c r="AD56" i="3"/>
  <c r="AD38" i="3"/>
  <c r="AD49" i="3"/>
  <c r="AD48" i="3"/>
  <c r="AD59" i="3"/>
  <c r="AD58" i="3"/>
  <c r="AD39" i="3"/>
  <c r="AD40" i="3"/>
  <c r="AD13" i="3"/>
  <c r="AD14" i="3"/>
  <c r="AD15" i="3"/>
  <c r="AD17" i="3"/>
  <c r="AD18" i="3"/>
  <c r="AD19" i="3"/>
  <c r="AD20" i="3"/>
  <c r="AD21" i="3"/>
  <c r="AD22" i="3"/>
  <c r="AD23" i="3"/>
  <c r="AD76" i="3"/>
  <c r="AD24" i="3"/>
  <c r="AD25" i="3"/>
  <c r="AE81" i="3"/>
  <c r="AE43" i="3"/>
  <c r="AE42" i="3"/>
  <c r="AE53" i="3"/>
  <c r="AE52" i="3"/>
  <c r="AE36" i="3"/>
  <c r="AE44" i="3"/>
  <c r="AE55" i="3"/>
  <c r="AE54" i="3"/>
  <c r="AE37" i="3"/>
  <c r="AE46" i="3"/>
  <c r="AE57" i="3"/>
  <c r="AE56" i="3"/>
  <c r="AE38" i="3"/>
  <c r="AE49" i="3"/>
  <c r="AE48" i="3"/>
  <c r="AE59" i="3"/>
  <c r="AE58" i="3"/>
  <c r="AE39" i="3"/>
  <c r="AE40" i="3"/>
  <c r="AE13" i="3"/>
  <c r="AE14" i="3"/>
  <c r="AE15" i="3"/>
  <c r="AE70" i="3"/>
  <c r="AE17" i="3"/>
  <c r="AE71" i="3"/>
  <c r="AE18" i="3"/>
  <c r="AE72" i="3"/>
  <c r="AE19" i="3"/>
  <c r="AE20" i="3"/>
  <c r="AE21" i="3"/>
  <c r="AE22" i="3"/>
  <c r="AE23" i="3"/>
  <c r="AE76" i="3"/>
  <c r="AE24" i="3"/>
  <c r="AE25" i="3"/>
  <c r="AF81" i="3"/>
  <c r="AF43" i="3"/>
  <c r="AF42" i="3"/>
  <c r="AF53" i="3"/>
  <c r="AF52" i="3"/>
  <c r="AF36" i="3"/>
  <c r="AF44" i="3"/>
  <c r="AF55" i="3"/>
  <c r="AF54" i="3"/>
  <c r="AF37" i="3"/>
  <c r="AF47" i="3"/>
  <c r="AF46" i="3"/>
  <c r="AF57" i="3"/>
  <c r="AF56" i="3"/>
  <c r="AF38" i="3"/>
  <c r="AF49" i="3"/>
  <c r="AF48" i="3"/>
  <c r="AF59" i="3"/>
  <c r="AF58" i="3"/>
  <c r="AF39" i="3"/>
  <c r="AF40" i="3"/>
  <c r="AF13" i="3"/>
  <c r="AF14" i="3"/>
  <c r="AF15"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0" i="3"/>
  <c r="Z82" i="3"/>
  <c r="Z29" i="3"/>
  <c r="AA79" i="3"/>
  <c r="AA82" i="3"/>
  <c r="AA29" i="3"/>
  <c r="AB29" i="3"/>
  <c r="AC79" i="3"/>
  <c r="AC82" i="3"/>
  <c r="AC29" i="3"/>
  <c r="AD79" i="3"/>
  <c r="AD82" i="3"/>
  <c r="AD29" i="3"/>
  <c r="AE79" i="3"/>
  <c r="AE82" i="3"/>
  <c r="AE29" i="3"/>
  <c r="AF79" i="3"/>
  <c r="AF82" i="3"/>
  <c r="AF29" i="3"/>
  <c r="AG29" i="3"/>
  <c r="U31" i="3"/>
  <c r="V31" i="3"/>
  <c r="X31" i="3"/>
  <c r="Y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rgb="FF000000"/>
            <rFont val="Tahoma"/>
            <family val="2"/>
          </rPr>
          <t>1Q2019 Earnings Call:</t>
        </r>
        <r>
          <rPr>
            <sz val="9"/>
            <color rgb="FF000000"/>
            <rFont val="Tahoma"/>
            <family val="2"/>
          </rPr>
          <t xml:space="preserve"> "Our Q1 tax rate was 30% and was higher than the mid-teens guidance given the tax treatment of the accrual."
</t>
        </r>
        <r>
          <rPr>
            <sz val="9"/>
            <color rgb="FF000000"/>
            <rFont val="Tahoma"/>
            <family val="2"/>
          </rPr>
          <t xml:space="preserve">
</t>
        </r>
        <r>
          <rPr>
            <b/>
            <sz val="9"/>
            <color rgb="FF000000"/>
            <rFont val="Tahoma"/>
            <family val="2"/>
          </rPr>
          <t xml:space="preserve">1Q2019 Earnings Call: </t>
        </r>
        <r>
          <rPr>
            <sz val="9"/>
            <color rgb="FF000000"/>
            <rFont val="Tahoma"/>
            <family val="2"/>
          </rPr>
          <t xml:space="preserve">"Total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t>
        </r>
        <r>
          <rPr>
            <sz val="9"/>
            <color rgb="FF000000"/>
            <rFont val="Tahoma"/>
            <family val="2"/>
          </rPr>
          <t>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<sst xmlns="http://schemas.openxmlformats.org/spreadsheetml/2006/main" count="439" uniqueCount="157">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</sst>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2646.9500000000003</c:v>
                </c:pt>
                <c:pt idx="5">
                  <c:v>2638.4680235759342</c:v>
                </c:pt>
                <c:pt idx="6">
                  <c:v>2698.5918961080197</c:v>
                </c:pt>
                <c:pt idx="7">
                  <c:v>2854.9692027333522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6.8441759346279474</c:v>
                </c:pt>
                <c:pt idx="5">
                  <c:v>7.3021011003749328</c:v>
                </c:pt>
                <c:pt idx="6">
                  <c:v>8.9412363651237179</c:v>
                </c:pt>
                <c:pt idx="7">
                  <c:v>7.7174651361387632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zoomScale="67"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H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2" t="s">
        <v>14</v>
      </c>
      <c r="C2" s="193"/>
      <c r="K2" s="12"/>
    </row>
    <row r="3" spans="1:61" x14ac:dyDescent="0.3">
      <c r="B3" s="204" t="s">
        <v>154</v>
      </c>
      <c r="C3" s="205"/>
      <c r="D3" s="13"/>
      <c r="G3" s="14"/>
      <c r="H3" s="14"/>
    </row>
    <row r="4" spans="1:61" x14ac:dyDescent="0.3">
      <c r="B4" s="206" t="s">
        <v>155</v>
      </c>
      <c r="C4" s="207"/>
      <c r="D4" s="13"/>
      <c r="G4" s="14"/>
      <c r="H4" s="14"/>
      <c r="AB4" s="13"/>
      <c r="BI4" s="4" t="s">
        <v>15</v>
      </c>
    </row>
    <row r="5" spans="1:61" x14ac:dyDescent="0.3">
      <c r="B5" s="208" t="s">
        <v>156</v>
      </c>
      <c r="C5" s="209"/>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C10" s="110"/>
      <c r="AD10" s="110"/>
      <c r="AE10" s="110"/>
      <c r="AF10" s="111"/>
      <c r="AG10" s="13"/>
    </row>
    <row r="11" spans="1:61" ht="15.6" x14ac:dyDescent="0.3">
      <c r="A11" s="187"/>
      <c r="B11" s="185" t="s">
        <v>74</v>
      </c>
      <c r="C11" s="186"/>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87"/>
      <c r="B12" s="202" t="s">
        <v>3</v>
      </c>
      <c r="C12" s="20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0" t="s">
        <v>19</v>
      </c>
      <c r="C13" s="19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17965.790723999999</v>
      </c>
      <c r="Z13" s="133">
        <f t="shared" si="0"/>
        <v>19297.328382947664</v>
      </c>
      <c r="AA13" s="133">
        <f t="shared" si="0"/>
        <v>23859.957118361221</v>
      </c>
      <c r="AB13" s="128">
        <f>SUM(X13:AA13)</f>
        <v>78860.076225308876</v>
      </c>
      <c r="AC13" s="133">
        <f t="shared" ref="AC13:AF13" si="1">+AC40</f>
        <v>21429.707080862383</v>
      </c>
      <c r="AD13" s="133">
        <f t="shared" si="1"/>
        <v>22518.631759468211</v>
      </c>
      <c r="AE13" s="133">
        <f t="shared" si="1"/>
        <v>24927.297309341222</v>
      </c>
      <c r="AF13" s="133">
        <f t="shared" si="1"/>
        <v>31806.467485580764</v>
      </c>
      <c r="AG13" s="128">
        <f>SUM(AC13:AF13)</f>
        <v>100682.10363525258</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3952.4739592799992</v>
      </c>
      <c r="Z14" s="135">
        <f>+Z13*(1-Z69)</f>
        <v>3955.9523185042704</v>
      </c>
      <c r="AA14" s="135">
        <f>+AA13*(1-AA69)</f>
        <v>4533.3918524886303</v>
      </c>
      <c r="AB14" s="129">
        <f>SUM(X14:AA14)</f>
        <v>15900.818130272901</v>
      </c>
      <c r="AC14" s="135">
        <f>+AC13*(1-AC69)</f>
        <v>4178.7928807681637</v>
      </c>
      <c r="AD14" s="135">
        <f>+AD13*(1-AD69)</f>
        <v>4165.9468755016205</v>
      </c>
      <c r="AE14" s="135">
        <f>+AE13*(1-AE69)</f>
        <v>4611.5500022281276</v>
      </c>
      <c r="AF14" s="135">
        <f>+AF13*(1-AF69)</f>
        <v>5884.1964848324433</v>
      </c>
      <c r="AG14" s="129">
        <f>SUM(AC14:AF14)</f>
        <v>18840.486243330353</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14013.316764719999</v>
      </c>
      <c r="Z15" s="40">
        <f t="shared" ref="Z15" si="13">+Z13-Z14</f>
        <v>15341.376064443393</v>
      </c>
      <c r="AA15" s="40">
        <f t="shared" ref="AA15" si="14">+AA13-AA14</f>
        <v>19326.565265872588</v>
      </c>
      <c r="AB15" s="130">
        <f>+AB13-AB14</f>
        <v>62959.258095035977</v>
      </c>
      <c r="AC15" s="40">
        <f>+AC13-AC14</f>
        <v>17250.914200094219</v>
      </c>
      <c r="AD15" s="40">
        <f t="shared" ref="AD15" si="15">+AD13-AD14</f>
        <v>18352.684883966591</v>
      </c>
      <c r="AE15" s="40">
        <f t="shared" ref="AE15" si="16">+AE13-AE14</f>
        <v>20315.747307113095</v>
      </c>
      <c r="AF15" s="40">
        <f t="shared" ref="AF15" si="17">+AF13-AF14</f>
        <v>25922.271000748322</v>
      </c>
      <c r="AG15" s="130">
        <f>+AG13-AG14</f>
        <v>81841.617391922235</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4311.7897737599997</v>
      </c>
      <c r="Z17" s="29">
        <f>+Z13*Z70</f>
        <v>4534.8721699927009</v>
      </c>
      <c r="AA17" s="29">
        <f>+AA13*AA70</f>
        <v>5249.1905660394686</v>
      </c>
      <c r="AB17" s="128">
        <f t="shared" ref="AB17:AB19" si="22">SUM(X17:AA17)</f>
        <v>18110.85250979217</v>
      </c>
      <c r="AC17" s="29">
        <f>+AC13*AC70</f>
        <v>5035.9811640026601</v>
      </c>
      <c r="AD17" s="29">
        <f>+AD13*AD70</f>
        <v>5179.2853046776891</v>
      </c>
      <c r="AE17" s="29">
        <f>+AE13*AE70</f>
        <v>5733.2783811484815</v>
      </c>
      <c r="AF17" s="29">
        <f>+AF13*AF70</f>
        <v>6997.4228468277679</v>
      </c>
      <c r="AG17" s="128">
        <f t="shared" ref="AG17:AG19" si="23">SUM(AC17:AF17)</f>
        <v>22945.9676966566</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2515.2107013600003</v>
      </c>
      <c r="Z18" s="29">
        <f>+Z13*Z71</f>
        <v>2894.5992574421493</v>
      </c>
      <c r="AA18" s="29">
        <f>+AA13*AA71</f>
        <v>3578.993567754183</v>
      </c>
      <c r="AB18" s="128">
        <f t="shared" si="22"/>
        <v>11775.803526556332</v>
      </c>
      <c r="AC18" s="29">
        <f>+AC13*AC71</f>
        <v>3514.4719612614308</v>
      </c>
      <c r="AD18" s="29">
        <f>+AD13*AD71</f>
        <v>3602.981081514914</v>
      </c>
      <c r="AE18" s="29">
        <f>+AE13*AE71</f>
        <v>3988.3675694945955</v>
      </c>
      <c r="AF18" s="29">
        <f>+AF13*AF71</f>
        <v>5089.0347976929224</v>
      </c>
      <c r="AG18" s="128">
        <f t="shared" si="23"/>
        <v>16194.855409963862</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1976.2369796399998</v>
      </c>
      <c r="Z19" s="34">
        <f>Z13*Z72</f>
        <v>1929.7328382947665</v>
      </c>
      <c r="AA19" s="34">
        <f>AA13*AA72</f>
        <v>2075.8162692974261</v>
      </c>
      <c r="AB19" s="129">
        <f t="shared" si="22"/>
        <v>7564.7860872321926</v>
      </c>
      <c r="AC19" s="34">
        <f>AC13*AC72</f>
        <v>1928.6736372776145</v>
      </c>
      <c r="AD19" s="34">
        <f>AD13*AD72</f>
        <v>2026.6768583521389</v>
      </c>
      <c r="AE19" s="34">
        <f>AE13*AE72</f>
        <v>2243.45675784071</v>
      </c>
      <c r="AF19" s="34">
        <f>AF13*AF72</f>
        <v>2862.5820737022686</v>
      </c>
      <c r="AG19" s="129">
        <f t="shared" si="23"/>
        <v>9061.389327172732</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8803.2374547599993</v>
      </c>
      <c r="Z20" s="37">
        <f t="shared" si="24"/>
        <v>9359.204265729617</v>
      </c>
      <c r="AA20" s="37">
        <f t="shared" si="24"/>
        <v>10904.000403091077</v>
      </c>
      <c r="AB20" s="131">
        <f t="shared" si="24"/>
        <v>37451.442123580695</v>
      </c>
      <c r="AC20" s="37">
        <f t="shared" si="24"/>
        <v>10479.126762541706</v>
      </c>
      <c r="AD20" s="37">
        <f t="shared" si="24"/>
        <v>10808.943244544742</v>
      </c>
      <c r="AE20" s="37">
        <f t="shared" si="24"/>
        <v>11965.102708483786</v>
      </c>
      <c r="AF20" s="37">
        <f t="shared" si="24"/>
        <v>14949.039718222961</v>
      </c>
      <c r="AG20" s="131">
        <f t="shared" si="24"/>
        <v>48202.212433793189</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5210.0793099599996</v>
      </c>
      <c r="Z21" s="40">
        <f t="shared" ref="Z21" si="33">Z15-Z20</f>
        <v>5982.1717987137763</v>
      </c>
      <c r="AA21" s="40">
        <f>AA15-AA20</f>
        <v>8422.5648627815117</v>
      </c>
      <c r="AB21" s="130">
        <f>AB15-AB20</f>
        <v>25507.815971455282</v>
      </c>
      <c r="AC21" s="40">
        <f>AC15-AC20</f>
        <v>6771.7874375525134</v>
      </c>
      <c r="AD21" s="40">
        <f t="shared" ref="AD21" si="34">AD15-AD20</f>
        <v>7543.741639421849</v>
      </c>
      <c r="AE21" s="40">
        <f t="shared" ref="AE21" si="35">AE15-AE20</f>
        <v>8350.6445986293093</v>
      </c>
      <c r="AF21" s="40">
        <f>AF15-AF20</f>
        <v>10973.231282525361</v>
      </c>
      <c r="AG21" s="130">
        <f>AG15-AG20</f>
        <v>33639.404958129046</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196" t="s">
        <v>23</v>
      </c>
      <c r="C23" s="197"/>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5367.3293099599996</v>
      </c>
      <c r="Z23" s="40">
        <f t="shared" si="42"/>
        <v>6127.2342987137763</v>
      </c>
      <c r="AA23" s="40">
        <f t="shared" si="42"/>
        <v>8567.8929877815117</v>
      </c>
      <c r="AB23" s="130">
        <f t="shared" si="42"/>
        <v>25923.456596455282</v>
      </c>
      <c r="AC23" s="40">
        <f t="shared" si="42"/>
        <v>6875.6975938025134</v>
      </c>
      <c r="AD23" s="40">
        <f t="shared" si="42"/>
        <v>7681.629334734349</v>
      </c>
      <c r="AE23" s="40">
        <f t="shared" si="42"/>
        <v>8483.6917177699343</v>
      </c>
      <c r="AF23" s="40">
        <f t="shared" si="42"/>
        <v>11103.274556451142</v>
      </c>
      <c r="AG23" s="130">
        <f t="shared" si="42"/>
        <v>34144.293202757952</v>
      </c>
    </row>
    <row r="24" spans="1:33" ht="16.2" x14ac:dyDescent="0.45">
      <c r="A24" s="138"/>
      <c r="B24" s="190" t="s">
        <v>7</v>
      </c>
      <c r="C24" s="19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-966.11927579279984</v>
      </c>
      <c r="Z24" s="34">
        <f>+Z23*-Z76</f>
        <v>-1102.9021737684798</v>
      </c>
      <c r="AA24" s="34">
        <f>+AA23*-AA76</f>
        <v>-1542.2207378006719</v>
      </c>
      <c r="AB24" s="129">
        <f>SUM(X24:AA24)</f>
        <v>-4570.2421873619514</v>
      </c>
      <c r="AC24" s="34">
        <f>+AC23*-AC76</f>
        <v>-1209.47638350904</v>
      </c>
      <c r="AD24" s="34">
        <f>+AD23*-AD76</f>
        <v>-1393.7879933583088</v>
      </c>
      <c r="AE24" s="34">
        <f>+AE23*-AE76</f>
        <v>-1542.3809416877002</v>
      </c>
      <c r="AF24" s="34">
        <f>+AF23*-AF76</f>
        <v>-2023.6466948727186</v>
      </c>
      <c r="AG24" s="129">
        <f>SUM(AC24:AF24)</f>
        <v>-6169.2920134277674</v>
      </c>
    </row>
    <row r="25" spans="1:33" x14ac:dyDescent="0.3">
      <c r="A25" s="145"/>
      <c r="B25" s="196" t="s">
        <v>8</v>
      </c>
      <c r="C25" s="197"/>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4401.2100341671994</v>
      </c>
      <c r="Z25" s="40">
        <f t="shared" si="43"/>
        <v>5024.3321249452965</v>
      </c>
      <c r="AA25" s="40">
        <f t="shared" si="43"/>
        <v>7025.6722499808402</v>
      </c>
      <c r="AB25" s="130">
        <f t="shared" si="43"/>
        <v>21353.214409093329</v>
      </c>
      <c r="AC25" s="40">
        <f t="shared" si="43"/>
        <v>5666.2212102934736</v>
      </c>
      <c r="AD25" s="40">
        <f t="shared" si="43"/>
        <v>6287.84134137604</v>
      </c>
      <c r="AE25" s="40">
        <f t="shared" si="43"/>
        <v>6941.310776082234</v>
      </c>
      <c r="AF25" s="40">
        <f t="shared" si="43"/>
        <v>9079.6278615784231</v>
      </c>
      <c r="AG25" s="130">
        <f t="shared" si="43"/>
        <v>27975.001189330185</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4401.2100341671994</v>
      </c>
      <c r="Z27" s="40">
        <f t="shared" ref="Z27" si="58">+Z25-Z26</f>
        <v>5024.3321249452965</v>
      </c>
      <c r="AA27" s="40">
        <f t="shared" ref="AA27" si="59">+AA25-AA26</f>
        <v>7025.6722499808402</v>
      </c>
      <c r="AB27" s="130">
        <f t="shared" ref="AB27" si="60">+AB25-AB26</f>
        <v>21353.214409093329</v>
      </c>
      <c r="AC27" s="40">
        <f t="shared" ref="AC27" si="61">+AC25-AC26</f>
        <v>5666.2212102934736</v>
      </c>
      <c r="AD27" s="40">
        <f t="shared" ref="AD27" si="62">+AD25-AD26</f>
        <v>6287.84134137604</v>
      </c>
      <c r="AE27" s="40">
        <f t="shared" ref="AE27" si="63">+AE25-AE26</f>
        <v>6941.310776082234</v>
      </c>
      <c r="AF27" s="40">
        <f t="shared" ref="AF27" si="64">+AF25-AF26</f>
        <v>9079.6278615784231</v>
      </c>
      <c r="AG27" s="130">
        <f t="shared" ref="AG27" si="65">+AG25-AG26</f>
        <v>27975.001189330185</v>
      </c>
    </row>
    <row r="28" spans="1:33" x14ac:dyDescent="0.3">
      <c r="A28" s="138"/>
      <c r="B28" s="190" t="s">
        <v>0</v>
      </c>
      <c r="C28" s="19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2850.3602542274043</v>
      </c>
      <c r="AB28" s="128">
        <f>(X28*X25/AB25)+(Y28*Y25/AB25)+(Z28*Z25/AB25)+(AA28*AA25/AB25)</f>
        <v>2850.6380307874342</v>
      </c>
      <c r="AC28" s="29">
        <f>AA28*(1+AC78)-AC82</f>
        <v>2849.3238288401967</v>
      </c>
      <c r="AD28" s="29">
        <f>AC28*(1+AD78)-AD82</f>
        <v>2848.6263836718658</v>
      </c>
      <c r="AE28" s="29">
        <f>AD28*(1+AE78)-AE82</f>
        <v>2847.8725070522919</v>
      </c>
      <c r="AF28" s="29">
        <f>AE28*(1+AF78)-AF82</f>
        <v>2847.0772100226668</v>
      </c>
      <c r="AG28" s="128">
        <f>(AC28*AC25/AG25)+(AD28*AD25/AG25)+(AE28*AE25/AG25)+(AF28*AF25/AG25)</f>
        <v>2848.0777891098373</v>
      </c>
    </row>
    <row r="29" spans="1:33" ht="15.75" customHeight="1" x14ac:dyDescent="0.3">
      <c r="A29" s="138"/>
      <c r="B29" s="190" t="s">
        <v>1</v>
      </c>
      <c r="C29" s="19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2867.2433141709739</v>
      </c>
      <c r="AB29" s="128">
        <f>(X29*X25/AB25)+(Y29*Y25/AB25)+(Z29*Z25/AB25)+(AA29*AA25/AB25)</f>
        <v>2867.9247566893127</v>
      </c>
      <c r="AC29" s="29">
        <f>AA29*(1+AC79)-AC82</f>
        <v>2863.9342516995812</v>
      </c>
      <c r="AD29" s="29">
        <f>AC29*(1+AD79)-AD82</f>
        <v>2862.6354432164039</v>
      </c>
      <c r="AE29" s="29">
        <f>AD29*(1+AE79)-AE82</f>
        <v>2860.8802427997266</v>
      </c>
      <c r="AF29" s="29">
        <f>AE29*(1+AF79)-AF82</f>
        <v>2858.9580903481174</v>
      </c>
      <c r="AG29" s="128">
        <f>(AC29*AC25/AG25)+(AD29*AD25/AG25)+(AE29*AE25/AG25)+(AF29*AF25/AG25)</f>
        <v>2861.2694718374519</v>
      </c>
    </row>
    <row r="30" spans="1:33" ht="15.75" customHeight="1" x14ac:dyDescent="0.3">
      <c r="A30" s="138"/>
      <c r="B30" s="200" t="s">
        <v>9</v>
      </c>
      <c r="C30" s="201"/>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1.5438428418478805</v>
      </c>
      <c r="Z30" s="43">
        <f t="shared" si="66"/>
        <v>1.7626029164940316</v>
      </c>
      <c r="AA30" s="43">
        <f t="shared" si="66"/>
        <v>2.4648365902383671</v>
      </c>
      <c r="AB30" s="132">
        <f t="shared" si="66"/>
        <v>7.4906789913256411</v>
      </c>
      <c r="AC30" s="43">
        <f t="shared" si="66"/>
        <v>1.9886195991277977</v>
      </c>
      <c r="AD30" s="43">
        <f t="shared" si="66"/>
        <v>2.207323985138073</v>
      </c>
      <c r="AE30" s="43">
        <f t="shared" si="66"/>
        <v>2.4373671078649797</v>
      </c>
      <c r="AF30" s="43">
        <f t="shared" si="66"/>
        <v>3.1891048931216504</v>
      </c>
      <c r="AG30" s="132">
        <f t="shared" si="66"/>
        <v>9.8224147164441504</v>
      </c>
    </row>
    <row r="31" spans="1:33" x14ac:dyDescent="0.3">
      <c r="A31" s="138"/>
      <c r="B31" s="198" t="s">
        <v>10</v>
      </c>
      <c r="C31" s="199"/>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1.53415522896219</v>
      </c>
      <c r="Z31" s="137">
        <f t="shared" si="67"/>
        <v>1.7518451518423084</v>
      </c>
      <c r="AA31" s="137">
        <f t="shared" si="67"/>
        <v>2.4503230037218597</v>
      </c>
      <c r="AB31" s="158">
        <f t="shared" si="67"/>
        <v>7.4455281155085613</v>
      </c>
      <c r="AC31" s="137">
        <f t="shared" si="67"/>
        <v>1.9784746130016411</v>
      </c>
      <c r="AD31" s="137">
        <f t="shared" si="67"/>
        <v>2.1965218645903226</v>
      </c>
      <c r="AE31" s="137">
        <f t="shared" si="67"/>
        <v>2.4262849846833503</v>
      </c>
      <c r="AF31" s="137">
        <f t="shared" si="67"/>
        <v>3.1758520323300208</v>
      </c>
      <c r="AG31" s="158">
        <f t="shared" si="67"/>
        <v>9.7771291605628399</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5" t="s">
        <v>25</v>
      </c>
      <c r="C33" s="18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202"/>
      <c r="C34" s="20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5" t="s">
        <v>146</v>
      </c>
      <c r="C35" s="18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8137.6823040000008</v>
      </c>
      <c r="Z36" s="64">
        <f>+((Z42+Y42)/2)*Z52</f>
        <v>8690.1968769407031</v>
      </c>
      <c r="AA36" s="64">
        <f>+((AA42+Z42)/2)*AA52</f>
        <v>11267.231574035894</v>
      </c>
      <c r="AB36" s="19"/>
      <c r="AC36" s="64">
        <f>+((AC42+AA42)/2)*AC52</f>
        <v>9945.5307227720459</v>
      </c>
      <c r="AD36" s="64">
        <f>+((AD42+AC42)/2)*AD52</f>
        <v>9764.2570895968693</v>
      </c>
      <c r="AE36" s="64">
        <f>+((AE42+AD42)/2)*AE52</f>
        <v>10721.678734041923</v>
      </c>
      <c r="AF36" s="64">
        <f>+((AF42+AE42)/2)*AF52</f>
        <v>14489.285787059403</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4551.5793749999993</v>
      </c>
      <c r="Z37" s="64">
        <f t="shared" ref="Z37:AA37" si="68">+((Z44+Y44)/2)*Z54</f>
        <v>4485.4194578731631</v>
      </c>
      <c r="AA37" s="64">
        <f t="shared" si="68"/>
        <v>5826.9438072788053</v>
      </c>
      <c r="AB37" s="19"/>
      <c r="AC37" s="64">
        <f>+((AC44+AA44)/2)*AC54</f>
        <v>5144.1543492761812</v>
      </c>
      <c r="AD37" s="64">
        <f>+((AD44+AC44)/2)*AD54</f>
        <v>5697.2939315228232</v>
      </c>
      <c r="AE37" s="64">
        <f t="shared" ref="AE37:AF37" si="69">+((AE44+AD44)/2)*AE54</f>
        <v>5731.4455181708227</v>
      </c>
      <c r="AF37" s="64">
        <f t="shared" si="69"/>
        <v>7686.6778983081131</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3537.3105600000004</v>
      </c>
      <c r="Z38" s="64">
        <f t="shared" ref="Z38:AA38" si="70">+((Z46+Y46)/2)*Z56</f>
        <v>4166.5778840857456</v>
      </c>
      <c r="AA38" s="64">
        <f t="shared" si="70"/>
        <v>4490.2288652755296</v>
      </c>
      <c r="AB38" s="19"/>
      <c r="AC38" s="64">
        <f>+((AC46+AA46)/2)*AC56</f>
        <v>4303.5548309727956</v>
      </c>
      <c r="AD38" s="64">
        <f>+((AD46+AC46)/2)*AD56</f>
        <v>4874.90451240742</v>
      </c>
      <c r="AE38" s="64">
        <f t="shared" ref="AE38:AF38" si="71">+((AE46+AD46)/2)*AE56</f>
        <v>5932.4007295067931</v>
      </c>
      <c r="AF38" s="64">
        <f t="shared" si="71"/>
        <v>6559.32824092189</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1739.2184849999999</v>
      </c>
      <c r="Z39" s="99">
        <f t="shared" ref="Z39:AA39" si="72">+((Z48+Y48)/2)*Z58</f>
        <v>1955.134164048055</v>
      </c>
      <c r="AA39" s="99">
        <f t="shared" si="72"/>
        <v>2275.5528717709876</v>
      </c>
      <c r="AB39" s="19"/>
      <c r="AC39" s="99">
        <f>+((AC48+AA48)/2)*AC58</f>
        <v>2036.4671778413606</v>
      </c>
      <c r="AD39" s="99">
        <f>+((AD48+AC48)/2)*AD58</f>
        <v>2182.1762259410957</v>
      </c>
      <c r="AE39" s="99">
        <f t="shared" ref="AE39:AF39" si="73">+((AE48+AD48)/2)*AE58</f>
        <v>2541.7723276216811</v>
      </c>
      <c r="AF39" s="99">
        <f t="shared" si="73"/>
        <v>3071.1755592913564</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17965.790723999999</v>
      </c>
      <c r="Z40" s="100">
        <f t="shared" ref="Z40:AA40" si="81">SUM(Z36:Z39)</f>
        <v>19297.328382947664</v>
      </c>
      <c r="AA40" s="100">
        <f t="shared" si="81"/>
        <v>23859.957118361221</v>
      </c>
      <c r="AB40" s="91"/>
      <c r="AC40" s="100">
        <f>SUM(AC36:AC39)</f>
        <v>21429.707080862383</v>
      </c>
      <c r="AD40" s="100">
        <f>SUM(AD36:AD39)</f>
        <v>22518.631759468211</v>
      </c>
      <c r="AE40" s="100">
        <f t="shared" ref="AE40:AF40" si="82">SUM(AE36:AE39)</f>
        <v>24927.297309341222</v>
      </c>
      <c r="AF40" s="100">
        <f t="shared" si="82"/>
        <v>31806.467485580764</v>
      </c>
      <c r="AG40" s="91"/>
    </row>
    <row r="41" spans="1:33" ht="17.399999999999999" x14ac:dyDescent="0.45">
      <c r="A41" s="138"/>
      <c r="B41" s="188" t="s">
        <v>86</v>
      </c>
      <c r="C41" s="18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251.32</v>
      </c>
      <c r="Z42" s="29">
        <f t="shared" ref="Z42" si="84">U42*(1+Z43)</f>
        <v>251.73047044519268</v>
      </c>
      <c r="AA42" s="29">
        <f t="shared" ref="AA42" si="85">V42*(1+AA43)</f>
        <v>252.65603594871271</v>
      </c>
      <c r="AB42" s="19"/>
      <c r="AC42" s="29">
        <f>X42*(1+AC43)</f>
        <v>259.89920273335207</v>
      </c>
      <c r="AD42" s="29">
        <f t="shared" ref="AD42" si="86">Y42*(1+AD43)</f>
        <v>257.3011405992267</v>
      </c>
      <c r="AE42" s="29">
        <f t="shared" ref="AE42" si="87">Z42*(1+AE43)</f>
        <v>257.33112859938086</v>
      </c>
      <c r="AF42" s="29">
        <f t="shared" ref="AF42" si="88">AA42*(1+AF43)</f>
        <v>258.47290105690911</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0.03</v>
      </c>
      <c r="Z43" s="59">
        <f>AVERAGE(U43,V43,X43,Y43)-1%</f>
        <v>1.9151702207257759E-2</v>
      </c>
      <c r="AA43" s="59">
        <f>AVERAGE(V43,X43,Y43,Z43)-1%</f>
        <v>1.8774338502873841E-2</v>
      </c>
      <c r="AB43" s="19"/>
      <c r="AC43" s="59">
        <f>AVERAGE(X43,Y43,Z43,AA43)</f>
        <v>2.7269576021154308E-2</v>
      </c>
      <c r="AD43" s="59">
        <f>AVERAGE(Y43,Z43,AA43,AC43)</f>
        <v>2.3798904182821476E-2</v>
      </c>
      <c r="AE43" s="59">
        <f>AVERAGE(Z43,AA43,AC43,AD43)</f>
        <v>2.2248630228526845E-2</v>
      </c>
      <c r="AF43" s="59">
        <f>AVERAGE(AA43,AC43,AD43,AE43)</f>
        <v>2.3022862233844116E-2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404.25</v>
      </c>
      <c r="Z44" s="29">
        <f t="shared" ref="Z44" si="90">U44*(1+Z45)</f>
        <v>399.90764985236223</v>
      </c>
      <c r="AA44" s="29">
        <f t="shared" ref="AA44" si="91">V44*(1+AA45)</f>
        <v>407.27440194389766</v>
      </c>
      <c r="AB44" s="19"/>
      <c r="AC44" s="29">
        <f>X44*(1+AC45)</f>
        <v>426.3</v>
      </c>
      <c r="AD44" s="29">
        <f t="shared" ref="AD44" si="92">Y44*(1+AD45)</f>
        <v>421.13193234421135</v>
      </c>
      <c r="AE44" s="29">
        <f t="shared" ref="AE44" si="93">Z44*(1+AE45)</f>
        <v>411.9048793479331</v>
      </c>
      <c r="AF44" s="29">
        <f t="shared" ref="AF44" si="94">AA44*(1+AF45)</f>
        <v>419.49263400221457</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0.05</v>
      </c>
      <c r="Z45" s="59">
        <f>AVERAGE(U45,V45,X45,Y45)-1%</f>
        <v>3.3353100393700812E-2</v>
      </c>
      <c r="AA45" s="59">
        <f>AVERAGE(V45,X45,Y45,Z45)-1%</f>
        <v>3.3691375492126009E-2</v>
      </c>
      <c r="AB45" s="19"/>
      <c r="AC45" s="59">
        <v>0.05</v>
      </c>
      <c r="AD45" s="59">
        <f>AVERAGE(Y45,Z45,AA45,AC45)</f>
        <v>4.1761118971456707E-2</v>
      </c>
      <c r="AE45" s="59">
        <v>0.03</v>
      </c>
      <c r="AF45" s="59">
        <v>0.03</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1123.3600000000001</v>
      </c>
      <c r="Z46" s="29">
        <f t="shared" ref="Z46" si="96">U46*(1+Z47)</f>
        <v>1113.1283972548288</v>
      </c>
      <c r="AA46" s="29">
        <f t="shared" ref="AA46" si="97">V46*(1+AA47)</f>
        <v>1139.5214582154094</v>
      </c>
      <c r="AB46" s="22"/>
      <c r="AC46" s="29">
        <f>X46*(1+AC47)</f>
        <v>1224.1600000000001</v>
      </c>
      <c r="AD46" s="29">
        <f t="shared" ref="AD46" si="98">Y46*(1+AD47)</f>
        <v>1245.8695476373357</v>
      </c>
      <c r="AE46" s="29">
        <f t="shared" ref="AE46" si="99">Z46*(1+AE47)</f>
        <v>1235.57252095286</v>
      </c>
      <c r="AF46" s="29">
        <f t="shared" ref="AF46" si="100">AA46*(1+AF47)</f>
        <v>1263.8541731628543</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0.12</v>
      </c>
      <c r="Z47" s="59">
        <f>AVERAGE(U47,V47,X47,Y47)-1%</f>
        <v>9.8843432630630765E-2</v>
      </c>
      <c r="AA47" s="59">
        <f>AVERAGE(V47,X47,Y47,Z47)-1%</f>
        <v>9.7381989806827177E-2</v>
      </c>
      <c r="AB47" s="19"/>
      <c r="AC47" s="59">
        <v>0.12</v>
      </c>
      <c r="AD47" s="59">
        <f>AVERAGE(Y47,Z47,AA47,AC47)</f>
        <v>0.10905635560936448</v>
      </c>
      <c r="AE47" s="59">
        <v>0.11</v>
      </c>
      <c r="AF47" s="59">
        <f>AVERAGE(AA47,AC47,AD47,AE47)</f>
        <v>0.10910958635404791</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868.0200000000001</v>
      </c>
      <c r="Z48" s="29">
        <f t="shared" ref="Z48" si="102">U48*(1+Z49)</f>
        <v>873.70150602355068</v>
      </c>
      <c r="AA48" s="29">
        <f t="shared" ref="AA48" si="103">V48*(1+AA49)</f>
        <v>899.1400000000001</v>
      </c>
      <c r="AB48" s="19"/>
      <c r="AC48" s="29">
        <f>X48*(1+AC49)</f>
        <v>944.61000000000013</v>
      </c>
      <c r="AD48" s="29">
        <f t="shared" ref="AD48" si="104">Y48*(1+AD49)</f>
        <v>956.86257919531261</v>
      </c>
      <c r="AE48" s="29">
        <f t="shared" ref="AE48" si="105">Z48*(1+AE49)</f>
        <v>961.45482226953686</v>
      </c>
      <c r="AF48" s="29">
        <f t="shared" ref="AF48" si="106">AA48*(1+AF49)</f>
        <v>991.92886481324319</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0.11</v>
      </c>
      <c r="Z49" s="59">
        <f>AVERAGE(U49,V49,X49,Y49)-1%</f>
        <v>8.9403374094202889E-2</v>
      </c>
      <c r="AA49" s="59">
        <v>0.1</v>
      </c>
      <c r="AB49" s="19"/>
      <c r="AC49" s="59">
        <v>0.11</v>
      </c>
      <c r="AD49" s="59">
        <f>AVERAGE(Y49,Z49,AA49,AC49)</f>
        <v>0.10235084352355073</v>
      </c>
      <c r="AE49" s="59">
        <f>AVERAGE(Z49,AA49,AC49,AD49)</f>
        <v>0.1004385544044384</v>
      </c>
      <c r="AF49" s="59">
        <f>AVERAGE(AA49,AC49,AD49,AE49)</f>
        <v>0.10319734948199728</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2646.9500000000003</v>
      </c>
      <c r="Z50" s="40">
        <f t="shared" si="111"/>
        <v>2638.4680235759342</v>
      </c>
      <c r="AA50" s="40">
        <f t="shared" si="111"/>
        <v>2698.5918961080197</v>
      </c>
      <c r="AB50" s="95"/>
      <c r="AC50" s="40">
        <f>+AC42+AC44+AC46+AC48</f>
        <v>2854.9692027333522</v>
      </c>
      <c r="AD50" s="40">
        <f t="shared" ref="AD50:AF50" si="112">+AD42+AD44+AD46+AD48</f>
        <v>2881.1651997760864</v>
      </c>
      <c r="AE50" s="40">
        <f t="shared" si="112"/>
        <v>2866.2633511697109</v>
      </c>
      <c r="AF50" s="40">
        <f t="shared" si="112"/>
        <v>2933.7485730352214</v>
      </c>
      <c r="AG50" s="95"/>
    </row>
    <row r="51" spans="1:33" ht="17.399999999999999" x14ac:dyDescent="0.45">
      <c r="A51" s="138"/>
      <c r="B51" s="185" t="s">
        <v>87</v>
      </c>
      <c r="C51" s="186"/>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32.271900000000002</v>
      </c>
      <c r="Z52" s="45">
        <f t="shared" ref="Z52" si="114">U52*(1+Z53)</f>
        <v>34.549999999999997</v>
      </c>
      <c r="AA52" s="45">
        <f t="shared" ref="AA52" si="115">V52*(1+AA53)</f>
        <v>44.676974626425249</v>
      </c>
      <c r="AB52" s="19"/>
      <c r="AC52" s="45">
        <f>X52*(1+AC53)</f>
        <v>38.807644414463603</v>
      </c>
      <c r="AD52" s="45">
        <f t="shared" ref="AD52" si="116">Y52*(1+AD53)</f>
        <v>37.758122999999998</v>
      </c>
      <c r="AE52" s="45">
        <f t="shared" ref="AE52" si="117">Z52*(1+AE53)</f>
        <v>41.667339480044141</v>
      </c>
      <c r="AF52" s="45">
        <f t="shared" ref="AF52" si="118">AA52*(1+AF53)</f>
        <v>56.181359407814064</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-0.03</v>
      </c>
      <c r="Z53" s="59">
        <v>0</v>
      </c>
      <c r="AA53" s="59">
        <f>AVERAGE(V53,X53,Y53,Z53)+0.572122632217421%</f>
        <v>7.8893374219397641E-2</v>
      </c>
      <c r="AB53" s="19"/>
      <c r="AC53" s="59">
        <f>AVERAGE(X53,Y53,Z53,AA53)+8.94685331393137%</f>
        <v>0.13539041587078993</v>
      </c>
      <c r="AD53" s="59">
        <v>0.17</v>
      </c>
      <c r="AE53" s="59">
        <f>AVERAGE(Z53,AA53,AC53,AD53)+10.9930195170482%</f>
        <v>0.20600114269302888</v>
      </c>
      <c r="AF53" s="59">
        <f>AVERAGE(AA53,AC53,AD53,AE53)+10.9930195170482%</f>
        <v>0.25750142836628609</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11.234999999999999</v>
      </c>
      <c r="Z54" s="45">
        <f t="shared" ref="Z54" si="125">U54*(1+Z55)</f>
        <v>11.155572439550019</v>
      </c>
      <c r="AA54" s="45">
        <f t="shared" ref="AA54" si="126">V54*(1+AA55)</f>
        <v>14.437743739003698</v>
      </c>
      <c r="AB54" s="19"/>
      <c r="AC54" s="45">
        <f>X54*(1+AC55)</f>
        <v>12.3424</v>
      </c>
      <c r="AD54" s="45">
        <f t="shared" ref="AD54" si="127">Y54*(1+AD55)</f>
        <v>13.446021359527165</v>
      </c>
      <c r="AE54" s="45">
        <f t="shared" ref="AE54" si="128">Z54*(1+AE55)</f>
        <v>13.76036553901756</v>
      </c>
      <c r="AF54" s="45">
        <f t="shared" ref="AF54" si="129">AA54*(1+AF55)</f>
        <v>18.490981209059321</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0.05</v>
      </c>
      <c r="Z55" s="59">
        <f>AVERAGE(U55,V55,X55,Y55)-10%</f>
        <v>4.4529254639514931E-2</v>
      </c>
      <c r="AA55" s="59">
        <f>AVERAGE(V55,X55,Y55,Z55)-1%</f>
        <v>9.2940479864019501E-2</v>
      </c>
      <c r="AB55" s="19"/>
      <c r="AC55" s="59">
        <v>0.16</v>
      </c>
      <c r="AD55" s="59">
        <f>AVERAGE(Y55,Z55,AA55,AC55)+10.9930195170482%</f>
        <v>0.19679762879636561</v>
      </c>
      <c r="AE55" s="59">
        <f>AVERAGE(Z55,AA55,AC55,AD55)+10.9930195170482%</f>
        <v>0.23349703599545701</v>
      </c>
      <c r="AF55" s="59">
        <f>AVERAGE(AA55,AC55,AD55,AE55)+10.9930195170482%</f>
        <v>0.28073898133444253</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3.1920000000000002</v>
      </c>
      <c r="Z56" s="45">
        <f t="shared" ref="Z56" si="138">U56*(1+Z57)</f>
        <v>3.726</v>
      </c>
      <c r="AA56" s="45">
        <f t="shared" ref="AA56" si="139">V56*(1+AA57)</f>
        <v>3.9866194511958</v>
      </c>
      <c r="AB56" s="19"/>
      <c r="AC56" s="45">
        <f>X56*(1+AC57)</f>
        <v>3.6414</v>
      </c>
      <c r="AD56" s="45">
        <f t="shared" ref="AD56" si="140">Y56*(1+AD57)</f>
        <v>3.9472438838397106</v>
      </c>
      <c r="AE56" s="45">
        <f t="shared" ref="AE56" si="141">Z56*(1+AE57)</f>
        <v>4.7814138436664946</v>
      </c>
      <c r="AF56" s="45">
        <f t="shared" ref="AF56" si="142">AA56*(1+AF57)</f>
        <v>5.24866622923106</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0.05</v>
      </c>
      <c r="Z57" s="59">
        <v>0.15</v>
      </c>
      <c r="AA57" s="59">
        <f>AVERAGE(V57,X57,Y57,Z57)-1%</f>
        <v>0.1167001263853782</v>
      </c>
      <c r="AB57" s="19"/>
      <c r="AC57" s="59">
        <v>0.19</v>
      </c>
      <c r="AD57" s="59">
        <f>AVERAGE(Y57,Z57,AA57,AC57)+10.9930195170482%</f>
        <v>0.23660522676682655</v>
      </c>
      <c r="AE57" s="59">
        <f>AVERAGE(Z57,AA57,AC57,AD57)+10.9930195170482%</f>
        <v>0.28325653345853319</v>
      </c>
      <c r="AF57" s="59">
        <f>AVERAGE(AA57,AC57,AD57,AE57)+10.9930195170482%</f>
        <v>0.31657066682316648</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2.0234999999999999</v>
      </c>
      <c r="Z58" s="45">
        <f t="shared" ref="Z58" si="151">U58*(1+Z59)</f>
        <v>2.245059450993101</v>
      </c>
      <c r="AA58" s="45">
        <f t="shared" ref="AA58" si="152">V58*(1+AA59)</f>
        <v>2.5671249957081712</v>
      </c>
      <c r="AB58" s="19"/>
      <c r="AC58" s="45">
        <f>X58*(1+AC59)</f>
        <v>2.2090491420652043</v>
      </c>
      <c r="AD58" s="45">
        <f t="shared" ref="AD58" si="153">Y58*(1+AD59)</f>
        <v>2.2952486928468612</v>
      </c>
      <c r="AE58" s="45">
        <f t="shared" ref="AE58" si="154">Z58*(1+AE59)</f>
        <v>2.6500018460769366</v>
      </c>
      <c r="AF58" s="45">
        <f t="shared" ref="AF58" si="155">AA58*(1+AF59)</f>
        <v>3.1444672949817738</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-0.05</v>
      </c>
      <c r="Z59" s="59">
        <f>AVERAGE(U59,V59,X59,Y59)-10%</f>
        <v>2.2586834790627036E-3</v>
      </c>
      <c r="AA59" s="59">
        <f>AVERAGE(V59,X59,Y59,Z59)-1%</f>
        <v>3.5131046656520677E-2</v>
      </c>
      <c r="AB59" s="19"/>
      <c r="AC59" s="59">
        <f>AVERAGE(X59,Y59,Z59,AA59)+10%</f>
        <v>0.11007494576140911</v>
      </c>
      <c r="AD59" s="59">
        <f>AVERAGE(Y59,Z59,AA59,AC59)+10.9930195170482%</f>
        <v>0.13429636414473012</v>
      </c>
      <c r="AE59" s="59">
        <f>AVERAGE(Z59,AA59,AC59,AD59)+10.9930195170482%</f>
        <v>0.18037045518091266</v>
      </c>
      <c r="AF59" s="59">
        <f>AVERAGE(AA59,AC59,AD59,AE59)+10.9930195170482%</f>
        <v>0.22489839810637513</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6.8441759346279474</v>
      </c>
      <c r="Z60" s="43">
        <f t="shared" ref="Z60:AA60" si="167">+Z40/((Y50+Z50)/2)</f>
        <v>7.3021011003749328</v>
      </c>
      <c r="AA60" s="43">
        <f t="shared" si="167"/>
        <v>8.9412363651237179</v>
      </c>
      <c r="AB60" s="19"/>
      <c r="AC60" s="43">
        <f>+AC40/((AA50+AC50)/2)</f>
        <v>7.7174651361387632</v>
      </c>
      <c r="AD60" s="43">
        <f>+AD40/((AC50+AD50)/2)</f>
        <v>7.8515007422478744</v>
      </c>
      <c r="AE60" s="43">
        <f t="shared" ref="AE60:AF60" si="168">+AE40/((AD50+AE50)/2)</f>
        <v>8.6742434771944001</v>
      </c>
      <c r="AF60" s="43">
        <f t="shared" si="168"/>
        <v>10.967724860303905</v>
      </c>
      <c r="AG60" s="19"/>
    </row>
    <row r="61" spans="1:33" ht="17.399999999999999" x14ac:dyDescent="0.45">
      <c r="A61" s="138"/>
      <c r="B61" s="185" t="s">
        <v>26</v>
      </c>
      <c r="C61" s="18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85" t="s">
        <v>16</v>
      </c>
      <c r="C63" s="186"/>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0" t="s">
        <v>101</v>
      </c>
      <c r="C64" s="191"/>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6.394591519602022E-2</v>
      </c>
      <c r="Z64" s="55">
        <f t="shared" si="175"/>
        <v>9.3209176464291055E-2</v>
      </c>
      <c r="AA64" s="55">
        <f t="shared" si="175"/>
        <v>0.13176914516465321</v>
      </c>
      <c r="AB64" s="53">
        <f t="shared" si="175"/>
        <v>0.11546566651072721</v>
      </c>
      <c r="AC64" s="55">
        <f t="shared" si="175"/>
        <v>0.20819231441970931</v>
      </c>
      <c r="AD64" s="55">
        <f t="shared" si="175"/>
        <v>0.25341723642512437</v>
      </c>
      <c r="AE64" s="55">
        <f t="shared" si="175"/>
        <v>0.29174862005087476</v>
      </c>
      <c r="AF64" s="55">
        <f t="shared" si="175"/>
        <v>0.33304797354830007</v>
      </c>
      <c r="AG64" s="53">
        <f t="shared" si="175"/>
        <v>0.2767183149506045</v>
      </c>
    </row>
    <row r="65" spans="1:33" s="42" customFormat="1" outlineLevel="1" x14ac:dyDescent="0.3">
      <c r="A65" s="145"/>
      <c r="B65" s="190" t="s">
        <v>102</v>
      </c>
      <c r="C65" s="191"/>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1.2899065456390524E-2</v>
      </c>
      <c r="Z65" s="55">
        <f t="shared" si="179"/>
        <v>7.4115171405670477E-2</v>
      </c>
      <c r="AA65" s="55">
        <f t="shared" si="179"/>
        <v>0.23643836311794253</v>
      </c>
      <c r="AB65" s="53"/>
      <c r="AC65" s="55">
        <f>+AC13/AA13-1</f>
        <v>-0.10185475294206037</v>
      </c>
      <c r="AD65" s="55">
        <f t="shared" ref="AD65:AF65" si="180">+AD13/AC13-1</f>
        <v>5.0813792017637249E-2</v>
      </c>
      <c r="AE65" s="55">
        <f t="shared" si="180"/>
        <v>0.10696322829917326</v>
      </c>
      <c r="AF65" s="55">
        <f t="shared" si="180"/>
        <v>0.27596935563734992</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18240.790723999999</v>
      </c>
      <c r="Z66" s="29">
        <f>+Z84+Z13</f>
        <v>19447.328382947664</v>
      </c>
      <c r="AA66" s="29">
        <f>+AA84+AA13</f>
        <v>23959.957118361221</v>
      </c>
      <c r="AB66" s="30">
        <f>SUM(X66:AA66)</f>
        <v>79660.076225308876</v>
      </c>
      <c r="AC66" s="29">
        <f>+AC84+AC13</f>
        <v>21479.707080862383</v>
      </c>
      <c r="AD66" s="29">
        <f>+AD84+AD13</f>
        <v>22568.631759468211</v>
      </c>
      <c r="AE66" s="29">
        <f>+AE84+AE13</f>
        <v>24977.297309341222</v>
      </c>
      <c r="AF66" s="29">
        <f>+AF84+AF13</f>
        <v>31856.467485580764</v>
      </c>
      <c r="AG66" s="30">
        <f>SUM(AC66:AF66)</f>
        <v>100882.10363525258</v>
      </c>
    </row>
    <row r="67" spans="1:33" s="42" customFormat="1" outlineLevel="1" x14ac:dyDescent="0.3">
      <c r="A67" s="145"/>
      <c r="B67" s="190" t="s">
        <v>103</v>
      </c>
      <c r="C67" s="19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8.0231595641359732E-2</v>
      </c>
      <c r="Z67" s="55">
        <f t="shared" ref="Z67" si="183">+Z66/U13-1</f>
        <v>0.10170679713050435</v>
      </c>
      <c r="AA67" s="55">
        <f t="shared" ref="AA67" si="184">+AA66/V13-1</f>
        <v>0.13651252814539516</v>
      </c>
      <c r="AB67" s="147">
        <f>+AB66/W13-1</f>
        <v>0.12678156393211704</v>
      </c>
      <c r="AC67" s="55">
        <f>+AC66/X13-1</f>
        <v>0.21101128042297934</v>
      </c>
      <c r="AD67" s="55">
        <f t="shared" ref="AD67" si="185">+AD66/Y13-1</f>
        <v>0.25620030346448397</v>
      </c>
      <c r="AE67" s="55">
        <f t="shared" ref="AE67" si="186">+AE66/Z13-1</f>
        <v>0.29433965229159575</v>
      </c>
      <c r="AF67" s="55">
        <f t="shared" ref="AF67" si="187">+AF66/AA13-1</f>
        <v>0.33514353473275516</v>
      </c>
      <c r="AG67" s="147">
        <f>+AG66/AB13-1</f>
        <v>0.2792544524941265</v>
      </c>
    </row>
    <row r="68" spans="1:33" s="42" customFormat="1" outlineLevel="1" x14ac:dyDescent="0.3">
      <c r="A68" s="145"/>
      <c r="B68" s="190" t="s">
        <v>104</v>
      </c>
      <c r="C68" s="19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0.78</v>
      </c>
      <c r="Z69" s="60">
        <v>0.79500000000000004</v>
      </c>
      <c r="AA69" s="60">
        <v>0.81</v>
      </c>
      <c r="AB69" s="54">
        <f>+AB15/AB13</f>
        <v>0.79836669083551071</v>
      </c>
      <c r="AC69" s="60">
        <v>0.80500000000000005</v>
      </c>
      <c r="AD69" s="60">
        <v>0.81499999999999995</v>
      </c>
      <c r="AE69" s="60">
        <v>0.81499999999999995</v>
      </c>
      <c r="AF69" s="60">
        <v>0.81499999999999995</v>
      </c>
      <c r="AG69" s="54">
        <f>+AG15/AG13</f>
        <v>0.81287154754349422</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0.23499999999999999</v>
      </c>
      <c r="AA70" s="60">
        <v>0.22</v>
      </c>
      <c r="AB70" s="54"/>
      <c r="AC70" s="60">
        <v>0.23499999999999999</v>
      </c>
      <c r="AD70" s="60">
        <v>0.23</v>
      </c>
      <c r="AE70" s="60">
        <f t="shared" ref="AE70" si="196">AD70</f>
        <v>0.23</v>
      </c>
      <c r="AF70" s="60">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0.14000000000000001</v>
      </c>
      <c r="Z71" s="60">
        <v>0.15</v>
      </c>
      <c r="AA71" s="60">
        <v>0.15</v>
      </c>
      <c r="AB71" s="165"/>
      <c r="AC71" s="60">
        <v>0.16400000000000001</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0.11</v>
      </c>
      <c r="Z72" s="60">
        <v>0.1</v>
      </c>
      <c r="AA72" s="60">
        <v>8.6999999999999994E-2</v>
      </c>
      <c r="AB72" s="54"/>
      <c r="AC72" s="60">
        <v>0.09</v>
      </c>
      <c r="AD72" s="60">
        <v>0.09</v>
      </c>
      <c r="AE72" s="60">
        <f t="shared" ref="AE72" si="206">AD72</f>
        <v>0.09</v>
      </c>
      <c r="AF72" s="60">
        <v>0.09</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53352.260253853594</v>
      </c>
      <c r="AC73" s="51"/>
      <c r="AD73" s="51"/>
      <c r="AE73" s="51"/>
      <c r="AF73" s="51"/>
      <c r="AG73" s="30">
        <f>AG14+AG17+AG18+AG19</f>
        <v>67042.698677123553</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-0.72692275022928221</v>
      </c>
      <c r="Z74" s="55">
        <f>+(Z14+Z17+Z18+Z19)/(X14+X17+X18+X19)-1</f>
        <v>0.12421112666615053</v>
      </c>
      <c r="AA74" s="55">
        <f>+(AA14+AA17+AA18+AA19)/(Y14+Y17+Y18+Y19)-1</f>
        <v>0.21023373408934498</v>
      </c>
      <c r="AB74" s="53">
        <f>+(AB14+AB17+AB18+AB19)/(W14+W17+W18+W19)-1</f>
        <v>0.14217765095702495</v>
      </c>
      <c r="AC74" s="55">
        <f>+(AC14+AC17+AC18+AC19)/(AA14+AA17+AA18+AA19)-1</f>
        <v>-5.049250542870054E-2</v>
      </c>
      <c r="AD74" s="55">
        <f>+(AD14+AD17+AD18+AD19)/(AB14+AB17+AB18+AB19)-1</f>
        <v>-0.71932041775184707</v>
      </c>
      <c r="AE74" s="55">
        <f>+(AE14+AE17+AE18+AE19)/(AC14+AC17+AC18+AC19)-1</f>
        <v>0.13090077678777479</v>
      </c>
      <c r="AF74" s="55">
        <f>+(AF14+AF17+AF18+AF19)/(AD14+AD17+AD18+AD19)-1</f>
        <v>0.39121129010266853</v>
      </c>
      <c r="AG74" s="53">
        <f>+(AG14+AG17+AG18+AG19)/(AB14+AB17+AB18+AB19)-1</f>
        <v>0.25660465663741228</v>
      </c>
    </row>
    <row r="75" spans="1:33" s="42" customFormat="1" outlineLevel="1" x14ac:dyDescent="0.3">
      <c r="A75" s="145"/>
      <c r="B75" s="190" t="s">
        <v>4</v>
      </c>
      <c r="C75" s="191"/>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0.28999999999999998</v>
      </c>
      <c r="Z75" s="51">
        <f t="shared" si="207"/>
        <v>0.31</v>
      </c>
      <c r="AA75" s="51">
        <f t="shared" si="207"/>
        <v>0.35300000000000004</v>
      </c>
      <c r="AB75" s="54">
        <f t="shared" si="207"/>
        <v>0.32345664869226892</v>
      </c>
      <c r="AC75" s="51">
        <f t="shared" si="207"/>
        <v>0.316</v>
      </c>
      <c r="AD75" s="51">
        <f t="shared" si="207"/>
        <v>0.33499999999999991</v>
      </c>
      <c r="AE75" s="51">
        <f t="shared" si="207"/>
        <v>0.33500000000000002</v>
      </c>
      <c r="AF75" s="51">
        <f t="shared" si="207"/>
        <v>0.34499999999999992</v>
      </c>
      <c r="AG75" s="54">
        <f t="shared" si="207"/>
        <v>0.33411503875601012</v>
      </c>
    </row>
    <row r="76" spans="1:33" s="42" customFormat="1" outlineLevel="1" x14ac:dyDescent="0.3">
      <c r="A76" s="145"/>
      <c r="B76" s="190" t="s">
        <v>2</v>
      </c>
      <c r="C76" s="191"/>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0.1762975616448802</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0.18068296147742349</v>
      </c>
    </row>
    <row r="77" spans="1:33" ht="17.399999999999999" x14ac:dyDescent="0.45">
      <c r="A77" s="138"/>
      <c r="B77" s="185" t="s">
        <v>18</v>
      </c>
      <c r="C77" s="186"/>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0" t="s">
        <v>12</v>
      </c>
      <c r="C78" s="19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0" t="s">
        <v>13</v>
      </c>
      <c r="C79" s="19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0" t="s">
        <v>5</v>
      </c>
      <c r="C80" s="19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Z80+10</f>
        <v>240</v>
      </c>
      <c r="AB80" s="62"/>
      <c r="AC80" s="63">
        <v>218</v>
      </c>
      <c r="AD80" s="63">
        <v>218</v>
      </c>
      <c r="AE80" s="63">
        <v>218</v>
      </c>
      <c r="AF80" s="63">
        <v>218</v>
      </c>
      <c r="AG80" s="62"/>
    </row>
    <row r="81" spans="1:33" outlineLevel="1" x14ac:dyDescent="0.3">
      <c r="A81" s="138"/>
      <c r="B81" s="190" t="s">
        <v>6</v>
      </c>
      <c r="C81" s="19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4" t="s">
        <v>17</v>
      </c>
      <c r="C82" s="195"/>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5.1801975618489582</v>
      </c>
      <c r="AB82" s="101">
        <f>+SUM(X82:AA82)</f>
        <v>22.043378472175043</v>
      </c>
      <c r="AC82" s="66">
        <f>IF((AC81)&gt;0,(AC81/AC80),0)</f>
        <v>5.6357278374068231</v>
      </c>
      <c r="AD82" s="66">
        <f>IF((AD81)&gt;0,(AD81/AD80),0)</f>
        <v>5.6208345100612815</v>
      </c>
      <c r="AE82" s="66">
        <f>IF((AE81)&gt;0,(AE81/AE80),0)</f>
        <v>5.6443869936545843</v>
      </c>
      <c r="AF82" s="66">
        <f>IF((AF81)&gt;0,(AF81/AF80),0)</f>
        <v>5.6509797834959823</v>
      </c>
      <c r="AG82" s="101">
        <f>+SUM(AC82:AF82)</f>
        <v>22.551929124618674</v>
      </c>
    </row>
    <row r="83" spans="1:33" ht="17.399999999999999" x14ac:dyDescent="0.45">
      <c r="A83" s="138"/>
      <c r="B83" s="185" t="s">
        <v>24</v>
      </c>
      <c r="C83" s="186"/>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0" t="s">
        <v>95</v>
      </c>
      <c r="C84" s="191"/>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85" t="s">
        <v>96</v>
      </c>
      <c r="C85" s="186"/>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208" zoomScaleNormal="100" workbookViewId="0">
      <selection activeCell="F10" sqref="F10"/>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2020-07-25T23:38:16Z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