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DC088BAD-3F80-42F2-B00E-173E56DA090C}" xr6:coauthVersionLast="45" xr6:coauthVersionMax="45" xr10:uidLastSave="{00000000-0000-0000-0000-000000000000}"/>
  <bookViews>
    <workbookView xWindow="25890" yWindow="1170" windowWidth="25035" windowHeight="19260"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4" i="3" l="1"/>
  <c r="Z44" i="3"/>
  <c r="X45" i="3"/>
  <c r="AE44"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Y81" i="3"/>
  <c r="T43" i="3"/>
  <c r="U43" i="3"/>
  <c r="V43" i="3"/>
  <c r="X43" i="3"/>
  <c r="Y42" i="3"/>
  <c r="T53" i="3"/>
  <c r="U53" i="3"/>
  <c r="V53" i="3"/>
  <c r="X53" i="3"/>
  <c r="Y52" i="3"/>
  <c r="Y36" i="3"/>
  <c r="T45" i="3"/>
  <c r="U45" i="3"/>
  <c r="V45" i="3"/>
  <c r="Y44" i="3"/>
  <c r="T55" i="3"/>
  <c r="U55" i="3"/>
  <c r="V55" i="3"/>
  <c r="X55" i="3"/>
  <c r="Y55" i="3"/>
  <c r="Y37" i="3"/>
  <c r="T47" i="3"/>
  <c r="U47" i="3"/>
  <c r="V47" i="3"/>
  <c r="X47" i="3"/>
  <c r="Y46" i="3"/>
  <c r="T57" i="3"/>
  <c r="U57" i="3"/>
  <c r="V57" i="3"/>
  <c r="X57" i="3"/>
  <c r="Y56" i="3"/>
  <c r="Y38" i="3"/>
  <c r="T49" i="3"/>
  <c r="U49" i="3"/>
  <c r="V49" i="3"/>
  <c r="X49" i="3"/>
  <c r="Y48" i="3"/>
  <c r="T59" i="3"/>
  <c r="U59" i="3"/>
  <c r="V59" i="3"/>
  <c r="X59" i="3"/>
  <c r="Y58" i="3"/>
  <c r="Y39" i="3"/>
  <c r="Y40" i="3"/>
  <c r="Y13" i="3"/>
  <c r="Y14" i="3"/>
  <c r="Y15" i="3"/>
  <c r="Y17" i="3"/>
  <c r="Y18" i="3"/>
  <c r="Y19" i="3"/>
  <c r="Y20" i="3"/>
  <c r="Y21" i="3"/>
  <c r="Y22" i="3"/>
  <c r="Y23" i="3"/>
  <c r="Y24" i="3"/>
  <c r="Y25" i="3"/>
  <c r="Z81" i="3"/>
  <c r="Z42" i="3"/>
  <c r="Z52" i="3"/>
  <c r="Z36" i="3"/>
  <c r="Z55" i="3"/>
  <c r="Z54" i="3"/>
  <c r="Z37" i="3"/>
  <c r="Z46" i="3"/>
  <c r="Z56" i="3"/>
  <c r="Z38" i="3"/>
  <c r="Z48" i="3"/>
  <c r="Z58" i="3"/>
  <c r="Z39" i="3"/>
  <c r="Z40" i="3"/>
  <c r="Z13" i="3"/>
  <c r="Z14" i="3"/>
  <c r="Z15" i="3"/>
  <c r="Z17" i="3"/>
  <c r="Z18" i="3"/>
  <c r="Z19" i="3"/>
  <c r="Z20" i="3"/>
  <c r="Z21" i="3"/>
  <c r="Z22" i="3"/>
  <c r="Z23" i="3"/>
  <c r="Z24" i="3"/>
  <c r="Z25" i="3"/>
  <c r="AA81" i="3"/>
  <c r="AA42" i="3"/>
  <c r="AA53" i="3"/>
  <c r="AA52" i="3"/>
  <c r="AA36" i="3"/>
  <c r="AA44" i="3"/>
  <c r="AA55" i="3"/>
  <c r="AA54" i="3"/>
  <c r="AA37" i="3"/>
  <c r="AA46" i="3"/>
  <c r="AA56" i="3"/>
  <c r="AA38" i="3"/>
  <c r="AA48" i="3"/>
  <c r="AA59" i="3"/>
  <c r="AA58" i="3"/>
  <c r="AA39" i="3"/>
  <c r="AA40" i="3"/>
  <c r="AA13" i="3"/>
  <c r="AA14" i="3"/>
  <c r="AA15" i="3"/>
  <c r="AA17" i="3"/>
  <c r="AA18" i="3"/>
  <c r="AA19" i="3"/>
  <c r="AA20" i="3"/>
  <c r="AA21" i="3"/>
  <c r="AA22" i="3"/>
  <c r="AA23" i="3"/>
  <c r="AA24" i="3"/>
  <c r="AA25" i="3"/>
  <c r="AC81" i="3"/>
  <c r="AC43" i="3"/>
  <c r="AC42" i="3"/>
  <c r="AC52" i="3"/>
  <c r="AC36" i="3"/>
  <c r="AC44" i="3"/>
  <c r="AC54" i="3"/>
  <c r="AC37" i="3"/>
  <c r="AC46" i="3"/>
  <c r="AC56" i="3"/>
  <c r="AC38" i="3"/>
  <c r="AC49" i="3"/>
  <c r="AC48" i="3"/>
  <c r="AC58" i="3"/>
  <c r="AC39" i="3"/>
  <c r="AC40" i="3"/>
  <c r="AC13" i="3"/>
  <c r="AC14" i="3"/>
  <c r="AC15" i="3"/>
  <c r="AC17" i="3"/>
  <c r="AC18" i="3"/>
  <c r="AC19" i="3"/>
  <c r="AC20" i="3"/>
  <c r="AC21" i="3"/>
  <c r="AC22" i="3"/>
  <c r="AC23" i="3"/>
  <c r="X76" i="3"/>
  <c r="AC76" i="3"/>
  <c r="AC24" i="3"/>
  <c r="AC25" i="3"/>
  <c r="AD81" i="3"/>
  <c r="AD42" i="3"/>
  <c r="AD52" i="3"/>
  <c r="AD36" i="3"/>
  <c r="AD44" i="3"/>
  <c r="AD54" i="3"/>
  <c r="AD37" i="3"/>
  <c r="AD46" i="3"/>
  <c r="AD56" i="3"/>
  <c r="AD38" i="3"/>
  <c r="AD48" i="3"/>
  <c r="AD58" i="3"/>
  <c r="AD39" i="3"/>
  <c r="AD40" i="3"/>
  <c r="AD13" i="3"/>
  <c r="AD14" i="3"/>
  <c r="AD15" i="3"/>
  <c r="AD17" i="3"/>
  <c r="AD18" i="3"/>
  <c r="AD19" i="3"/>
  <c r="AD20" i="3"/>
  <c r="AD21" i="3"/>
  <c r="AD22" i="3"/>
  <c r="AD23" i="3"/>
  <c r="AD76" i="3"/>
  <c r="AD24" i="3"/>
  <c r="AD25" i="3"/>
  <c r="AE81" i="3"/>
  <c r="AE42" i="3"/>
  <c r="AE52" i="3"/>
  <c r="AE36" i="3"/>
  <c r="AE54" i="3"/>
  <c r="AE37" i="3"/>
  <c r="AE46" i="3"/>
  <c r="AE56" i="3"/>
  <c r="AE38" i="3"/>
  <c r="AE48" i="3"/>
  <c r="AE58" i="3"/>
  <c r="AE39" i="3"/>
  <c r="AE40" i="3"/>
  <c r="AE13" i="3"/>
  <c r="AE14" i="3"/>
  <c r="AE15" i="3"/>
  <c r="AE70" i="3"/>
  <c r="AE17" i="3"/>
  <c r="AE71" i="3"/>
  <c r="AE18" i="3"/>
  <c r="AE72" i="3"/>
  <c r="AE19" i="3"/>
  <c r="AE20" i="3"/>
  <c r="AE21" i="3"/>
  <c r="AE22" i="3"/>
  <c r="AE23" i="3"/>
  <c r="AE76" i="3"/>
  <c r="AE24" i="3"/>
  <c r="AE25" i="3"/>
  <c r="AF81" i="3"/>
  <c r="AF42" i="3"/>
  <c r="AF52" i="3"/>
  <c r="AF36" i="3"/>
  <c r="AF44" i="3"/>
  <c r="AF55" i="3"/>
  <c r="AF54" i="3"/>
  <c r="AF37" i="3"/>
  <c r="AF46" i="3"/>
  <c r="AF56" i="3"/>
  <c r="AF38" i="3"/>
  <c r="AF48" i="3"/>
  <c r="AF58" i="3"/>
  <c r="AF39" i="3"/>
  <c r="AF40" i="3"/>
  <c r="AF13" i="3"/>
  <c r="AF14" i="3"/>
  <c r="AF15" i="3"/>
  <c r="AF70" i="3"/>
  <c r="AF17" i="3"/>
  <c r="AF18" i="3"/>
  <c r="AF19" i="3"/>
  <c r="AF20" i="3"/>
  <c r="AF21" i="3"/>
  <c r="AF22" i="3"/>
  <c r="AF23" i="3"/>
  <c r="AF76" i="3"/>
  <c r="AF24" i="3"/>
  <c r="AF25"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13" i="3"/>
  <c r="AB14" i="3"/>
  <c r="AB15" i="3"/>
  <c r="AB17" i="3"/>
  <c r="AB18" i="3"/>
  <c r="AB19" i="3"/>
  <c r="AB20" i="3"/>
  <c r="AB21" i="3"/>
  <c r="AB22" i="3"/>
  <c r="AB23" i="3"/>
  <c r="AB24" i="3"/>
  <c r="AB25" i="3"/>
  <c r="AG13" i="3"/>
  <c r="AG14" i="3"/>
  <c r="AG15" i="3"/>
  <c r="AG17" i="3"/>
  <c r="AG18" i="3"/>
  <c r="AG19" i="3"/>
  <c r="AG20" i="3"/>
  <c r="AG21" i="3"/>
  <c r="AG22" i="3"/>
  <c r="AG23" i="3"/>
  <c r="AG24" i="3"/>
  <c r="AG25" i="3"/>
  <c r="W29" i="3"/>
  <c r="T80" i="3"/>
  <c r="T82" i="3"/>
  <c r="T79" i="3"/>
  <c r="U80" i="3"/>
  <c r="U82" i="3"/>
  <c r="U79" i="3"/>
  <c r="V80" i="3"/>
  <c r="V82" i="3"/>
  <c r="V79" i="3"/>
  <c r="X80" i="3"/>
  <c r="X82" i="3"/>
  <c r="X79" i="3"/>
  <c r="Y79" i="3"/>
  <c r="Y82" i="3"/>
  <c r="Y29" i="3"/>
  <c r="Z79" i="3"/>
  <c r="Z80" i="3"/>
  <c r="Z82" i="3"/>
  <c r="Z29" i="3"/>
  <c r="AA79" i="3"/>
  <c r="AA80" i="3"/>
  <c r="AA82" i="3"/>
  <c r="AA29" i="3"/>
  <c r="AB29" i="3"/>
  <c r="AC79" i="3"/>
  <c r="AC80" i="3"/>
  <c r="AC82" i="3"/>
  <c r="AC29" i="3"/>
  <c r="AD79" i="3"/>
  <c r="AD80" i="3"/>
  <c r="AD82" i="3"/>
  <c r="AD29" i="3"/>
  <c r="AE79" i="3"/>
  <c r="AE80" i="3"/>
  <c r="AE82" i="3"/>
  <c r="AE29" i="3"/>
  <c r="AF79" i="3"/>
  <c r="AF80" i="3"/>
  <c r="AF82" i="3"/>
  <c r="AF29" i="3"/>
  <c r="AG29" i="3"/>
  <c r="U31" i="3"/>
  <c r="V31" i="3"/>
  <c r="X31" i="3"/>
  <c r="Y31" i="3"/>
  <c r="AD84" i="3"/>
  <c r="AE84" i="3"/>
  <c r="AF84" i="3"/>
  <c r="Y84" i="3"/>
  <c r="X69" i="3"/>
  <c r="X70" i="3"/>
  <c r="X71" i="3"/>
  <c r="X72" i="3"/>
  <c r="AG73" i="3"/>
  <c r="AB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Z31" i="3"/>
  <c r="Y78"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31"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tc={5A05025D-5187-2F44-B37A-04F108BFC47C}</author>
    <author>tc={99566775-4574-5E4E-B26A-4DFD09D7225F}</author>
    <author>tc={B2993A83-D49E-D54F-BAD0-A4407B2A79B7}</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1139567B-CDB2-4F27-9D2D-8164BFFEA73D}">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rgb="FF000000"/>
            <rFont val="Tahoma"/>
            <family val="2"/>
          </rPr>
          <t xml:space="preserve">Primary Input: </t>
        </r>
        <r>
          <rPr>
            <sz val="9"/>
            <color rgb="FF000000"/>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EB180744-0605-4677-8197-E126E6D6DF86}">
      <text>
        <r>
          <rPr>
            <b/>
            <sz val="9"/>
            <color rgb="FF000000"/>
            <rFont val="Tahoma"/>
            <family val="2"/>
          </rPr>
          <t xml:space="preserve">Primary Input: </t>
        </r>
        <r>
          <rPr>
            <sz val="9"/>
            <color rgb="FF000000"/>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1" shapeId="0" xr:uid="{5A05025D-5187-2F44-B37A-04F108BFC47C}">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R&amp;D expense is going to go down because due to lack of workers on site their has not been any progress with improving Oculus, which is their VR system, but their products have been seeing increased sales. 
</t>
        </r>
      </text>
    </comment>
    <comment ref="Y71" authorId="2" shapeId="0" xr:uid="{99566775-4574-5E4E-B26A-4DFD09D7225F}">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Marketing expense will go down because due lower AD revenue and lower expenditure during the pandemic. </t>
        </r>
      </text>
    </comment>
    <comment ref="Y72" authorId="3" shapeId="0" xr:uid="{B2993A83-D49E-D54F-BAD0-A4407B2A79B7}">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 feel like G&amp;A expense is going to go down because people are working from home, which means Facebook does not have to buy goods for their work to be done during this pandemic, which is another reason Facebook expenses will decrease for the second quarter and it will help revenue. 
</t>
        </r>
      </text>
    </comment>
    <comment ref="AB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List>
</comments>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<sst xmlns="http://schemas.openxmlformats.org/spreadsheetml/2006/main" count="439" uniqueCount="157">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</sst>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2640.16</c:v>
                </c:pt>
                <c:pt idx="5">
                  <c:v>2688.7200000000003</c:v>
                </c:pt>
                <c:pt idx="6">
                  <c:v>2724.1340000000005</c:v>
                </c:pt>
                <c:pt idx="7">
                  <c:v>2836.2503936792696</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7.0266648164916479</c:v>
                </c:pt>
                <c:pt idx="5">
                  <c:v>7.5417430790881586</c:v>
                </c:pt>
                <c:pt idx="6">
                  <c:v>9.167107882138124</c:v>
                </c:pt>
                <c:pt idx="7">
                  <c:v>7.8961962923934568</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person displayName="Nidhish Somarouthu" id="{D27C6A5F-EF92-354B-A127-BDD6150A8CBE}" userId="S::nss161@scarletmail.rutgers.edu::869cfda2-eb60-42a8-aeb1-6d064612525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Y69" dT="2020-07-20T19:27:02.22" personId="{D27C6A5F-EF92-354B-A127-BDD6150A8CBE}" id="{5A05025D-5187-2F44-B37A-04F108BFC47C}">
    <text xml:space="preserve">R&amp;D expense is going to go down because due to lack of workers on site their has not been any progress with improving Oculus, which is their VR system, but their products have been seeing increased sales. 
</text>
  </threadedComment>
  <threadedComment ref="Y71" dT="2020-07-20T19:23:06.36" personId="{D27C6A5F-EF92-354B-A127-BDD6150A8CBE}" id="{99566775-4574-5E4E-B26A-4DFD09D7225F}">
    <text xml:space="preserve">Marketing expense will go down because due lower AD revenue and lower expenditure during the pandemic. </text>
  </threadedComment>
  <threadedComment ref="Y72" dT="2020-07-20T19:25:37.54" personId="{D27C6A5F-EF92-354B-A127-BDD6150A8CBE}" id="{B2993A83-D49E-D54F-BAD0-A4407B2A79B7}">
    <text xml:space="preserve">I feel like G&amp;A expense is going to go down because people are working from home, which means Facebook does not have to buy goods for their work to be done during this pandemic, which is another reason Facebook expenses will decrease for the second quarter and it will help revenue. 
</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workbookViewId="0">
      <selection activeCell="B4" sqref="B4"/>
    </sheetView>
  </sheetViews>
  <sheetFormatPr defaultColWidth="8.77734375" defaultRowHeight="14.4" x14ac:dyDescent="0.3"/>
  <cols>
    <col min="1" max="1" width="1" customWidth="1"/>
    <col min="2" max="2" width="182.664062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T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x14ac:dyDescent="0.3">
      <c r="B1" s="127" t="s">
        <v>15</v>
      </c>
    </row>
    <row r="2" spans="1:61" ht="59.25" customHeight="1" x14ac:dyDescent="0.3">
      <c r="B2" s="194" t="s">
        <v>14</v>
      </c>
      <c r="C2" s="195"/>
      <c r="K2" s="12"/>
    </row>
    <row r="3" spans="1:61" x14ac:dyDescent="0.3">
      <c r="B3" s="204" t="s">
        <v>154</v>
      </c>
      <c r="C3" s="205"/>
      <c r="D3" s="13"/>
      <c r="G3" s="14"/>
      <c r="H3" s="14"/>
    </row>
    <row r="4" spans="1:61" x14ac:dyDescent="0.3">
      <c r="B4" s="206" t="s">
        <v>155</v>
      </c>
      <c r="C4" s="207"/>
      <c r="D4" s="13"/>
      <c r="G4" s="14"/>
      <c r="H4" s="14"/>
      <c r="BI4" s="4" t="s">
        <v>15</v>
      </c>
    </row>
    <row r="5" spans="1:61" x14ac:dyDescent="0.3">
      <c r="B5" s="208" t="s">
        <v>156</v>
      </c>
      <c r="C5" s="209"/>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55" hidden="1" customHeight="1" x14ac:dyDescent="0.3">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61" s="138" customFormat="1" ht="14.55" hidden="1" customHeight="1" x14ac:dyDescent="0.3">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61" s="138" customFormat="1" ht="14.55" hidden="1" customHeight="1" x14ac:dyDescent="0.3">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61" s="138" customFormat="1" ht="14.55" hidden="1" customHeight="1" x14ac:dyDescent="0.3">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61" ht="17.55" customHeight="1" x14ac:dyDescent="0.3">
      <c r="B10" s="127" t="s">
        <v>15</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61" ht="15.6" x14ac:dyDescent="0.3">
      <c r="A11" s="187"/>
      <c r="B11" s="185" t="s">
        <v>74</v>
      </c>
      <c r="C11" s="186"/>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187"/>
      <c r="B12" s="192" t="s">
        <v>3</v>
      </c>
      <c r="C12" s="193"/>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8"/>
      <c r="B13" s="190" t="s">
        <v>19</v>
      </c>
      <c r="C13" s="191"/>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18420.963949618174</v>
      </c>
      <c r="Z13" s="133">
        <f t="shared" si="0"/>
        <v>20094.521929645653</v>
      </c>
      <c r="AA13" s="133">
        <f t="shared" si="0"/>
        <v>24810.108284131442</v>
      </c>
      <c r="AB13" s="128">
        <f>SUM(X13:AA13)</f>
        <v>81062.594163395261</v>
      </c>
      <c r="AC13" s="133">
        <f t="shared" ref="AC13:AF13" si="1">+AC40</f>
        <v>21952.943316826346</v>
      </c>
      <c r="AD13" s="133">
        <f t="shared" si="1"/>
        <v>23307.763340956168</v>
      </c>
      <c r="AE13" s="133">
        <f t="shared" si="1"/>
        <v>26151.992750948448</v>
      </c>
      <c r="AF13" s="133">
        <f t="shared" si="1"/>
        <v>33338.477173856903</v>
      </c>
      <c r="AG13" s="128">
        <f>SUM(AC13:AF13)</f>
        <v>104751.17658258785</v>
      </c>
    </row>
    <row r="14" spans="1:61"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3960.5072491679066</v>
      </c>
      <c r="Z14" s="135">
        <f>+Z13*(1-Z69)</f>
        <v>4119.3769955773578</v>
      </c>
      <c r="AA14" s="135">
        <f>+AA13*(1-AA69)</f>
        <v>4713.9205739849731</v>
      </c>
      <c r="AB14" s="129">
        <f>SUM(X14:AA14)</f>
        <v>16252.804818730237</v>
      </c>
      <c r="AC14" s="135">
        <f>+AC13*(1-AC69)</f>
        <v>4280.8239467811363</v>
      </c>
      <c r="AD14" s="135">
        <f>+AD13*(1-AD69)</f>
        <v>4311.9362180768921</v>
      </c>
      <c r="AE14" s="135">
        <f>+AE13*(1-AE69)</f>
        <v>4838.1186589254639</v>
      </c>
      <c r="AF14" s="135">
        <f>+AF13*(1-AF69)</f>
        <v>6167.6182771635285</v>
      </c>
      <c r="AG14" s="129">
        <f>SUM(AC14:AF14)</f>
        <v>19598.497100947021</v>
      </c>
    </row>
    <row r="15" spans="1:61" s="21" customFormat="1" x14ac:dyDescent="0.3">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14460.456700450268</v>
      </c>
      <c r="Z15" s="40">
        <f t="shared" ref="Z15" si="13">+Z13-Z14</f>
        <v>15975.144934068296</v>
      </c>
      <c r="AA15" s="40">
        <f t="shared" ref="AA15" si="14">+AA13-AA14</f>
        <v>20096.187710146471</v>
      </c>
      <c r="AB15" s="130">
        <f>+AB13-AB14</f>
        <v>64809.789344665027</v>
      </c>
      <c r="AC15" s="40">
        <f>+AC13-AC14</f>
        <v>17672.11937004521</v>
      </c>
      <c r="AD15" s="40">
        <f t="shared" ref="AD15" si="15">+AD13-AD14</f>
        <v>18995.827122879276</v>
      </c>
      <c r="AE15" s="40">
        <f t="shared" ref="AE15" si="16">+AE13-AE14</f>
        <v>21313.874092022983</v>
      </c>
      <c r="AF15" s="40">
        <f t="shared" ref="AF15" si="17">+AF13-AF14</f>
        <v>27170.858896693375</v>
      </c>
      <c r="AG15" s="130">
        <f>+AG13-AG14</f>
        <v>85152.679481640836</v>
      </c>
    </row>
    <row r="16" spans="1:61"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4421.0313479083616</v>
      </c>
      <c r="Z17" s="29">
        <f>+Z13*Z70</f>
        <v>4722.2126534667277</v>
      </c>
      <c r="AA17" s="29">
        <f>+AA13*AA70</f>
        <v>5458.2238225089177</v>
      </c>
      <c r="AB17" s="128">
        <f t="shared" ref="AB17:AB19" si="22">SUM(X17:AA17)</f>
        <v>18616.467823884006</v>
      </c>
      <c r="AC17" s="29">
        <f>+AC13*AC70</f>
        <v>5158.9416794541912</v>
      </c>
      <c r="AD17" s="29">
        <f>+AD13*AD70</f>
        <v>5127.7079350103568</v>
      </c>
      <c r="AE17" s="29">
        <f>+AE13*AE70</f>
        <v>5753.4384052086589</v>
      </c>
      <c r="AF17" s="29">
        <f>+AF13*AF70</f>
        <v>7334.4649782485185</v>
      </c>
      <c r="AG17" s="128">
        <f t="shared" ref="AG17:AG19" si="23">SUM(AC17:AF17)</f>
        <v>23374.552997921724</v>
      </c>
    </row>
    <row r="18" spans="1:33" x14ac:dyDescent="0.3">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2947.354231938908</v>
      </c>
      <c r="Z18" s="29">
        <f>+Z13*Z71</f>
        <v>3315.5961183915329</v>
      </c>
      <c r="AA18" s="29">
        <f>+AA13*AA71</f>
        <v>3721.5162426197162</v>
      </c>
      <c r="AB18" s="128">
        <f t="shared" si="22"/>
        <v>12771.466592950157</v>
      </c>
      <c r="AC18" s="29">
        <f>+AC13*AC71</f>
        <v>3600.2827039595209</v>
      </c>
      <c r="AD18" s="29">
        <f>+AD13*AD71</f>
        <v>3729.242134552987</v>
      </c>
      <c r="AE18" s="29">
        <f>+AE13*AE71</f>
        <v>4184.3188401517518</v>
      </c>
      <c r="AF18" s="29">
        <f>+AF13*AF71</f>
        <v>5334.1563478171047</v>
      </c>
      <c r="AG18" s="128">
        <f t="shared" si="23"/>
        <v>16848.000026481364</v>
      </c>
    </row>
    <row r="19" spans="1:33" ht="17.25" customHeight="1" x14ac:dyDescent="0.45">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2026.3060344579992</v>
      </c>
      <c r="Z19" s="34">
        <f>Z13*Z72</f>
        <v>1788.412451738463</v>
      </c>
      <c r="AA19" s="34">
        <f>AA13*AA72</f>
        <v>1959.9985544463839</v>
      </c>
      <c r="AB19" s="129">
        <f t="shared" si="22"/>
        <v>7357.7170406428449</v>
      </c>
      <c r="AC19" s="34">
        <f>AC13*AC72</f>
        <v>1975.764898514371</v>
      </c>
      <c r="AD19" s="34">
        <f>AD13*AD72</f>
        <v>1864.6210672764935</v>
      </c>
      <c r="AE19" s="34">
        <f>AE13*AE72</f>
        <v>2092.1594200758759</v>
      </c>
      <c r="AF19" s="34">
        <f>AF13*AF72</f>
        <v>2467.0473108654105</v>
      </c>
      <c r="AG19" s="129">
        <f t="shared" si="23"/>
        <v>8399.5926967321502</v>
      </c>
    </row>
    <row r="20" spans="1:33" s="39" customFormat="1" ht="17.25" customHeight="1" x14ac:dyDescent="0.45">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9394.6916143052695</v>
      </c>
      <c r="Z20" s="37">
        <f t="shared" si="24"/>
        <v>9826.2212235967236</v>
      </c>
      <c r="AA20" s="37">
        <f t="shared" si="24"/>
        <v>11139.738619575017</v>
      </c>
      <c r="AB20" s="131">
        <f t="shared" si="24"/>
        <v>38745.651457477012</v>
      </c>
      <c r="AC20" s="37">
        <f t="shared" si="24"/>
        <v>10734.989281928083</v>
      </c>
      <c r="AD20" s="37">
        <f t="shared" si="24"/>
        <v>10721.571136839837</v>
      </c>
      <c r="AE20" s="37">
        <f t="shared" si="24"/>
        <v>12029.916665436287</v>
      </c>
      <c r="AF20" s="37">
        <f t="shared" si="24"/>
        <v>15135.668636931034</v>
      </c>
      <c r="AG20" s="131">
        <f t="shared" si="24"/>
        <v>48622.145721135239</v>
      </c>
    </row>
    <row r="21" spans="1:33" x14ac:dyDescent="0.3">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5065.7650861449983</v>
      </c>
      <c r="Z21" s="40">
        <f t="shared" ref="Z21" si="33">Z15-Z20</f>
        <v>6148.9237104715721</v>
      </c>
      <c r="AA21" s="40">
        <f>AA15-AA20</f>
        <v>8956.4490905714538</v>
      </c>
      <c r="AB21" s="130">
        <f>AB15-AB20</f>
        <v>26064.137887188015</v>
      </c>
      <c r="AC21" s="40">
        <f>AC15-AC20</f>
        <v>6937.1300881171264</v>
      </c>
      <c r="AD21" s="40">
        <f t="shared" ref="AD21" si="34">AD15-AD20</f>
        <v>8274.2559860394394</v>
      </c>
      <c r="AE21" s="40">
        <f t="shared" ref="AE21" si="35">AE15-AE20</f>
        <v>9283.9574265866959</v>
      </c>
      <c r="AF21" s="40">
        <f>AF15-AF20</f>
        <v>12035.190259762341</v>
      </c>
      <c r="AG21" s="130">
        <f>AG15-AG20</f>
        <v>36530.533760505597</v>
      </c>
    </row>
    <row r="22" spans="1:33" ht="16.2" x14ac:dyDescent="0.45">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f>AVERAGE(X22,V22,U22,T22)</f>
        <v>157.25</v>
      </c>
      <c r="Z22" s="57">
        <f>AVERAGE(Y22,X22,V22,U22)</f>
        <v>145.0625</v>
      </c>
      <c r="AA22" s="57">
        <f>AVERAGE(Z22,Y22,X22,V22)</f>
        <v>145.328125</v>
      </c>
      <c r="AB22" s="129">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1">SUM(AC22:AF22)</f>
        <v>504.88824462890625</v>
      </c>
    </row>
    <row r="23" spans="1:33" x14ac:dyDescent="0.3">
      <c r="A23" s="138"/>
      <c r="B23" s="198" t="s">
        <v>23</v>
      </c>
      <c r="C23" s="199"/>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5223.0150861449983</v>
      </c>
      <c r="Z23" s="40">
        <f t="shared" si="42"/>
        <v>6293.9862104715721</v>
      </c>
      <c r="AA23" s="40">
        <f t="shared" si="42"/>
        <v>9101.7772155714538</v>
      </c>
      <c r="AB23" s="130">
        <f t="shared" si="42"/>
        <v>26479.778512188015</v>
      </c>
      <c r="AC23" s="40">
        <f t="shared" si="42"/>
        <v>7041.0402443671264</v>
      </c>
      <c r="AD23" s="40">
        <f t="shared" si="42"/>
        <v>8412.1436813519394</v>
      </c>
      <c r="AE23" s="40">
        <f t="shared" si="42"/>
        <v>9417.0045457273209</v>
      </c>
      <c r="AF23" s="40">
        <f t="shared" si="42"/>
        <v>12165.233533688122</v>
      </c>
      <c r="AG23" s="130">
        <f t="shared" si="42"/>
        <v>37035.422005134504</v>
      </c>
    </row>
    <row r="24" spans="1:33" ht="16.2" x14ac:dyDescent="0.45">
      <c r="A24" s="138"/>
      <c r="B24" s="190" t="s">
        <v>7</v>
      </c>
      <c r="C24" s="191"/>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-940.14271550609965</v>
      </c>
      <c r="Z24" s="34">
        <f>+Z23*-Z76</f>
        <v>-1132.917517884883</v>
      </c>
      <c r="AA24" s="34">
        <f>+AA23*-AA76</f>
        <v>-1638.3198988028616</v>
      </c>
      <c r="AB24" s="129">
        <f>SUM(X24:AA24)</f>
        <v>-4670.3801321938445</v>
      </c>
      <c r="AC24" s="34">
        <f>+AC23*-AC76</f>
        <v>-1238.5611459373556</v>
      </c>
      <c r="AD24" s="34">
        <f>+AD23*-AD76</f>
        <v>-1526.3356705402355</v>
      </c>
      <c r="AE24" s="34">
        <f>+AE23*-AE76</f>
        <v>-1712.062251000119</v>
      </c>
      <c r="AF24" s="34">
        <f>+AF23*-AF76</f>
        <v>-2217.1958828577544</v>
      </c>
      <c r="AG24" s="129">
        <f>SUM(AC24:AF24)</f>
        <v>-6694.1549503354645</v>
      </c>
    </row>
    <row r="25" spans="1:33" x14ac:dyDescent="0.3">
      <c r="A25" s="145"/>
      <c r="B25" s="198" t="s">
        <v>8</v>
      </c>
      <c r="C25" s="199"/>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4282.8723706388992</v>
      </c>
      <c r="Z25" s="40">
        <f t="shared" si="43"/>
        <v>5161.0686925866894</v>
      </c>
      <c r="AA25" s="40">
        <f t="shared" si="43"/>
        <v>7463.4573167685921</v>
      </c>
      <c r="AB25" s="130">
        <f t="shared" si="43"/>
        <v>21809.398379994171</v>
      </c>
      <c r="AC25" s="40">
        <f t="shared" si="43"/>
        <v>5802.4790984297706</v>
      </c>
      <c r="AD25" s="40">
        <f t="shared" si="43"/>
        <v>6885.8080108117038</v>
      </c>
      <c r="AE25" s="40">
        <f t="shared" si="43"/>
        <v>7704.9422947272014</v>
      </c>
      <c r="AF25" s="40">
        <f t="shared" si="43"/>
        <v>9948.0376508303671</v>
      </c>
      <c r="AG25" s="130">
        <f t="shared" si="43"/>
        <v>30341.267054799038</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4282.8723706388992</v>
      </c>
      <c r="Z27" s="40">
        <f t="shared" ref="Z27" si="58">+Z25-Z26</f>
        <v>5161.0686925866894</v>
      </c>
      <c r="AA27" s="40">
        <f t="shared" ref="AA27" si="59">+AA25-AA26</f>
        <v>7463.4573167685921</v>
      </c>
      <c r="AB27" s="130">
        <f t="shared" ref="AB27" si="60">+AB25-AB26</f>
        <v>21809.398379994171</v>
      </c>
      <c r="AC27" s="40">
        <f t="shared" ref="AC27" si="61">+AC25-AC26</f>
        <v>5802.4790984297706</v>
      </c>
      <c r="AD27" s="40">
        <f t="shared" ref="AD27" si="62">+AD25-AD26</f>
        <v>6885.8080108117038</v>
      </c>
      <c r="AE27" s="40">
        <f t="shared" ref="AE27" si="63">+AE25-AE26</f>
        <v>7704.9422947272014</v>
      </c>
      <c r="AF27" s="40">
        <f t="shared" ref="AF27" si="64">+AF25-AF26</f>
        <v>9948.0376508303671</v>
      </c>
      <c r="AG27" s="130">
        <f t="shared" ref="AG27" si="65">+AG25-AG26</f>
        <v>30341.267054799038</v>
      </c>
    </row>
    <row r="28" spans="1:33" x14ac:dyDescent="0.3">
      <c r="A28" s="138"/>
      <c r="B28" s="190" t="s">
        <v>0</v>
      </c>
      <c r="C28" s="191"/>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2850.8148076129528</v>
      </c>
      <c r="Z28" s="29">
        <f>Y28*(1+Z78)-Z82</f>
        <v>2850.5184451521982</v>
      </c>
      <c r="AA28" s="29">
        <f>Z28*(1+AA78)-AA82</f>
        <v>2850.1350282464546</v>
      </c>
      <c r="AB28" s="128">
        <f>(X28*X25/AB25)+(Y28*Y25/AB25)+(Z28*Z25/AB25)+(AA28*AA25/AB25)</f>
        <v>2850.5536707340725</v>
      </c>
      <c r="AC28" s="29">
        <f>AA28*(1+AC78)-AC82</f>
        <v>2849.3922774117996</v>
      </c>
      <c r="AD28" s="29">
        <f>AC28*(1+AD78)-AD82</f>
        <v>2848.9882114477409</v>
      </c>
      <c r="AE28" s="29">
        <f>AD28*(1+AE78)-AE82</f>
        <v>2848.5294457688351</v>
      </c>
      <c r="AF28" s="29">
        <f>AE28*(1+AF78)-AF82</f>
        <v>2848.0301025614267</v>
      </c>
      <c r="AG28" s="128">
        <f>(AC28*AC25/AG25)+(AD28*AD25/AG25)+(AE28*AE25/AG25)+(AF28*AF25/AG25)</f>
        <v>2848.6348484182008</v>
      </c>
    </row>
    <row r="29" spans="1:33" ht="15.75" customHeight="1" x14ac:dyDescent="0.3">
      <c r="A29" s="138"/>
      <c r="B29" s="190" t="s">
        <v>1</v>
      </c>
      <c r="C29" s="191"/>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2868.8166302079394</v>
      </c>
      <c r="Z29" s="29">
        <f>Y29*(1+Z79)-Z82</f>
        <v>2868.0229640510829</v>
      </c>
      <c r="AA29" s="29">
        <f>Z29*(1+AA79)-AA82</f>
        <v>2867.0180881900242</v>
      </c>
      <c r="AB29" s="128">
        <f>(X29*X25/AB25)+(Y29*Y25/AB25)+(Z29*Z25/AB25)+(AA29*AA25/AB25)</f>
        <v>2867.8297791246619</v>
      </c>
      <c r="AC29" s="29">
        <f>AA29*(1+AC79)-AC82</f>
        <v>2864.0028809299311</v>
      </c>
      <c r="AD29" s="29">
        <f>AC29*(1+AD79)-AD82</f>
        <v>2862.9974369475908</v>
      </c>
      <c r="AE29" s="29">
        <f>AD29*(1+AE79)-AE82</f>
        <v>2861.5372180930599</v>
      </c>
      <c r="AF29" s="29">
        <f>AE29*(1+AF79)-AF82</f>
        <v>2859.9107556607837</v>
      </c>
      <c r="AG29" s="128">
        <f>(AC29*AC25/AG25)+(AD29*AD25/AG25)+(AE29*AE25/AG25)+(AF29*AF25/AG25)</f>
        <v>2861.8068717707415</v>
      </c>
    </row>
    <row r="30" spans="1:33" ht="15.75" customHeight="1" x14ac:dyDescent="0.3">
      <c r="A30" s="138"/>
      <c r="B30" s="202" t="s">
        <v>9</v>
      </c>
      <c r="C30" s="203"/>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1.5023327222805603</v>
      </c>
      <c r="Z30" s="43">
        <f t="shared" si="66"/>
        <v>1.8105719334544155</v>
      </c>
      <c r="AA30" s="43">
        <f t="shared" si="66"/>
        <v>2.6186328867936073</v>
      </c>
      <c r="AB30" s="132">
        <f t="shared" si="66"/>
        <v>7.6509341339213695</v>
      </c>
      <c r="AC30" s="43">
        <f t="shared" si="66"/>
        <v>2.0363918104320691</v>
      </c>
      <c r="AD30" s="43">
        <f t="shared" si="66"/>
        <v>2.416931029459267</v>
      </c>
      <c r="AE30" s="43">
        <f t="shared" si="66"/>
        <v>2.7048842012751573</v>
      </c>
      <c r="AF30" s="43">
        <f t="shared" si="66"/>
        <v>3.4929538286422681</v>
      </c>
      <c r="AG30" s="132">
        <f t="shared" si="66"/>
        <v>10.651160527523222</v>
      </c>
    </row>
    <row r="31" spans="1:33" x14ac:dyDescent="0.3">
      <c r="A31" s="138"/>
      <c r="B31" s="200" t="s">
        <v>10</v>
      </c>
      <c r="C31" s="201"/>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37">
        <f t="shared" si="67"/>
        <v>1.4929055853696949</v>
      </c>
      <c r="Z31" s="137">
        <f t="shared" si="67"/>
        <v>1.7995213975890483</v>
      </c>
      <c r="AA31" s="137">
        <f t="shared" si="67"/>
        <v>2.6032124971629824</v>
      </c>
      <c r="AB31" s="158">
        <f t="shared" si="67"/>
        <v>7.6048441015390322</v>
      </c>
      <c r="AC31" s="137">
        <f t="shared" si="67"/>
        <v>2.0260032338185803</v>
      </c>
      <c r="AD31" s="137">
        <f t="shared" si="67"/>
        <v>2.4051044971081312</v>
      </c>
      <c r="AE31" s="137">
        <f t="shared" si="67"/>
        <v>2.6925885310909239</v>
      </c>
      <c r="AF31" s="137">
        <f t="shared" si="67"/>
        <v>3.4784433853887404</v>
      </c>
      <c r="AG31" s="158">
        <f t="shared" si="67"/>
        <v>10.602136487297409</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185" t="s">
        <v>25</v>
      </c>
      <c r="C33" s="186"/>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192"/>
      <c r="C34" s="193"/>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185" t="s">
        <v>146</v>
      </c>
      <c r="C35" s="186"/>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8978.7745200000008</v>
      </c>
      <c r="Z36" s="64">
        <f>+((Z42+Y42)/2)*Z52</f>
        <v>9618.6163499999984</v>
      </c>
      <c r="AA36" s="64">
        <f>+((AA42+Z42)/2)*AA52</f>
        <v>12067.789290417262</v>
      </c>
      <c r="AB36" s="19"/>
      <c r="AC36" s="64">
        <f>+((AC42+AA42)/2)*AC52</f>
        <v>10597.144114434157</v>
      </c>
      <c r="AD36" s="64">
        <f>+((AD42+AC42)/2)*AD52</f>
        <v>11340.929998185808</v>
      </c>
      <c r="AE36" s="64">
        <f>+((AE42+AD42)/2)*AE52</f>
        <v>12543.267333870001</v>
      </c>
      <c r="AF36" s="64">
        <f>+((AF42+AE42)/2)*AF52</f>
        <v>16283.068089560016</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4173.5722696181729</v>
      </c>
      <c r="Z37" s="64">
        <f t="shared" ref="Z37" si="68">+((Z44+Y44)/2)*Z54</f>
        <v>4389.7527796456525</v>
      </c>
      <c r="AA37" s="64">
        <f>+((AA44+Z44)/2)*AA54</f>
        <v>5724.9672859766915</v>
      </c>
      <c r="AB37" s="19"/>
      <c r="AC37" s="64">
        <f>+((AC44+AA44)/2)*AC54</f>
        <v>4957.3888000000006</v>
      </c>
      <c r="AD37" s="64">
        <f>+((AD44+AC44)/2)*AD54</f>
        <v>4967.7610469724068</v>
      </c>
      <c r="AE37" s="64">
        <f>+((AE44+AD44)/2)*AE54</f>
        <v>5354.333287094446</v>
      </c>
      <c r="AF37" s="64">
        <f t="shared" ref="AF37" si="69">+((AF44+AE44)/2)*AF54</f>
        <v>7250.9344147954362</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3537.3105600000004</v>
      </c>
      <c r="Z38" s="64">
        <f>+((Z46+Y46)/2)*Z56</f>
        <v>4115.1499200000007</v>
      </c>
      <c r="AA38" s="64">
        <f>+((AA46+Z46)/2)*AA56</f>
        <v>4737.1270694999994</v>
      </c>
      <c r="AB38" s="19"/>
      <c r="AC38" s="64">
        <f>+((AC46+AA46)/2)*AC56</f>
        <v>4435.4858508000007</v>
      </c>
      <c r="AD38" s="64">
        <f>+((AD46+AC46)/2)*AD56</f>
        <v>4885.6073700000006</v>
      </c>
      <c r="AE38" s="64">
        <f t="shared" ref="AE38:AF38" si="70">+((AE46+AD46)/2)*AE56</f>
        <v>5794.1310873600014</v>
      </c>
      <c r="AF38" s="64">
        <f t="shared" si="70"/>
        <v>6846.7952912436003</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1731.3065999999999</v>
      </c>
      <c r="Z39" s="99">
        <f t="shared" ref="Z39:AA39" si="71">+((Z48+Y48)/2)*Z58</f>
        <v>1971.0028800000005</v>
      </c>
      <c r="AA39" s="99">
        <f t="shared" si="71"/>
        <v>2280.2246382374888</v>
      </c>
      <c r="AB39" s="19"/>
      <c r="AC39" s="99">
        <f>+((AC48+AA48)/2)*AC58</f>
        <v>1962.9245515921875</v>
      </c>
      <c r="AD39" s="99">
        <f>+((AD48+AC48)/2)*AD58</f>
        <v>2113.4649257979495</v>
      </c>
      <c r="AE39" s="99">
        <f t="shared" ref="AE39:AF39" si="72">+((AE48+AD48)/2)*AE58</f>
        <v>2460.2610426240008</v>
      </c>
      <c r="AF39" s="99">
        <f t="shared" si="72"/>
        <v>2957.6793782578466</v>
      </c>
      <c r="AG39" s="19"/>
    </row>
    <row r="40" spans="1:33" s="92" customFormat="1" outlineLevel="1" x14ac:dyDescent="0.3">
      <c r="A40" s="139"/>
      <c r="B40" s="90" t="s">
        <v>20</v>
      </c>
      <c r="C40" s="72"/>
      <c r="D40" s="100">
        <f>SUM(D36:D39)</f>
        <v>5382</v>
      </c>
      <c r="E40" s="100">
        <f t="shared" ref="E40:G40" si="73">SUM(E36:E39)</f>
        <v>6436</v>
      </c>
      <c r="F40" s="100">
        <f t="shared" si="73"/>
        <v>7011</v>
      </c>
      <c r="G40" s="100">
        <f t="shared" si="73"/>
        <v>8809</v>
      </c>
      <c r="H40" s="91"/>
      <c r="I40" s="100">
        <f>SUM(I36:I39)</f>
        <v>8032</v>
      </c>
      <c r="J40" s="100">
        <f t="shared" ref="J40:L40" si="74">SUM(J36:J39)</f>
        <v>9321</v>
      </c>
      <c r="K40" s="100">
        <f t="shared" si="74"/>
        <v>10328</v>
      </c>
      <c r="L40" s="100">
        <f t="shared" si="74"/>
        <v>12972</v>
      </c>
      <c r="M40" s="91"/>
      <c r="N40" s="100">
        <f>SUM(N36:N39)</f>
        <v>11966</v>
      </c>
      <c r="O40" s="100">
        <f t="shared" ref="O40" si="75">SUM(O36:O39)</f>
        <v>13231</v>
      </c>
      <c r="P40" s="100">
        <f t="shared" ref="P40" si="76">SUM(P36:P39)</f>
        <v>13727</v>
      </c>
      <c r="Q40" s="100">
        <f t="shared" ref="Q40" si="77">SUM(Q36:Q39)</f>
        <v>16914</v>
      </c>
      <c r="R40" s="91"/>
      <c r="S40" s="100">
        <f>SUM(S36:S39)</f>
        <v>15077</v>
      </c>
      <c r="T40" s="100">
        <f>SUM(T36:T39)</f>
        <v>16886</v>
      </c>
      <c r="U40" s="100">
        <f t="shared" ref="U40" si="78">SUM(U36:U39)</f>
        <v>17652</v>
      </c>
      <c r="V40" s="100">
        <f t="shared" ref="V40" si="79">SUM(V36:V39)</f>
        <v>21082</v>
      </c>
      <c r="W40" s="91"/>
      <c r="X40" s="100">
        <f>SUM(X36:X39)</f>
        <v>17737</v>
      </c>
      <c r="Y40" s="100">
        <f>SUM(Y36:Y39)</f>
        <v>18420.963949618174</v>
      </c>
      <c r="Z40" s="100">
        <f t="shared" ref="Z40:AA40" si="80">SUM(Z36:Z39)</f>
        <v>20094.521929645653</v>
      </c>
      <c r="AA40" s="100">
        <f t="shared" si="80"/>
        <v>24810.108284131442</v>
      </c>
      <c r="AB40" s="91"/>
      <c r="AC40" s="100">
        <f>SUM(AC36:AC39)</f>
        <v>21952.943316826346</v>
      </c>
      <c r="AD40" s="100">
        <f>SUM(AD36:AD39)</f>
        <v>23307.763340956168</v>
      </c>
      <c r="AE40" s="100">
        <f t="shared" ref="AE40:AF40" si="81">SUM(AE36:AE39)</f>
        <v>26151.992750948448</v>
      </c>
      <c r="AF40" s="100">
        <f t="shared" si="81"/>
        <v>33338.477173856903</v>
      </c>
      <c r="AG40" s="91"/>
    </row>
    <row r="41" spans="1:33" ht="17.399999999999999" x14ac:dyDescent="0.45">
      <c r="A41" s="138"/>
      <c r="B41" s="188" t="s">
        <v>86</v>
      </c>
      <c r="C41" s="189"/>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2">T42*(1+Y43)</f>
        <v>256.2</v>
      </c>
      <c r="Z42" s="29">
        <f t="shared" ref="Z42" si="83">U42*(1+Z43)</f>
        <v>259.35000000000002</v>
      </c>
      <c r="AA42" s="29">
        <f>V42*(1+AA43)</f>
        <v>260.40000000000003</v>
      </c>
      <c r="AB42" s="19"/>
      <c r="AC42" s="29">
        <f>X42*(1+AC43)</f>
        <v>265.09038065843623</v>
      </c>
      <c r="AD42" s="29">
        <f>Y42*(1+AD43)</f>
        <v>266.44799999999998</v>
      </c>
      <c r="AE42" s="29">
        <f t="shared" ref="AE42" si="84">Z42*(1+AE43)</f>
        <v>267.13050000000004</v>
      </c>
      <c r="AF42" s="29">
        <f t="shared" ref="AF42" si="85">AA42*(1+AF43)</f>
        <v>268.21200000000005</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0.05</v>
      </c>
      <c r="Z43" s="59">
        <v>0.05</v>
      </c>
      <c r="AA43" s="59">
        <v>0.05</v>
      </c>
      <c r="AB43" s="19"/>
      <c r="AC43" s="59">
        <f>AVERAGE(X43,Y43,Z43,AA43)</f>
        <v>4.7788065843621413E-2</v>
      </c>
      <c r="AD43" s="59">
        <v>0.04</v>
      </c>
      <c r="AE43" s="59">
        <v>0.03</v>
      </c>
      <c r="AF43" s="59">
        <v>0.03</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6">T44*(1+Y45)</f>
        <v>400.40000000000003</v>
      </c>
      <c r="Z44" s="29">
        <f>U44*(1+Z45)</f>
        <v>402.48</v>
      </c>
      <c r="AA44" s="29">
        <f>V44*(1+AA45)</f>
        <v>409.76</v>
      </c>
      <c r="AB44" s="19"/>
      <c r="AC44" s="29">
        <f>X44*(1+AC45)</f>
        <v>422.24</v>
      </c>
      <c r="AD44" s="29">
        <f>Y44*(1+AD45)</f>
        <v>412.41200000000003</v>
      </c>
      <c r="AE44" s="29">
        <f t="shared" ref="AE44" si="87">Z44*(1+AE45)</f>
        <v>410.52960000000002</v>
      </c>
      <c r="AF44" s="29">
        <f>AA44*(1+AF45)</f>
        <v>417.95519999999999</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0.04</v>
      </c>
      <c r="Z45" s="59">
        <v>0.04</v>
      </c>
      <c r="AA45" s="59">
        <v>0.04</v>
      </c>
      <c r="AB45" s="19"/>
      <c r="AC45" s="59">
        <v>0.04</v>
      </c>
      <c r="AD45" s="59">
        <v>0.03</v>
      </c>
      <c r="AE45" s="59">
        <v>0.02</v>
      </c>
      <c r="AF45" s="59">
        <v>0.02</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88">T46*(1+Y47)</f>
        <v>1123.3600000000001</v>
      </c>
      <c r="Z46" s="29">
        <f>U46*(1+Z47)</f>
        <v>1144.6899999999998</v>
      </c>
      <c r="AA46" s="29">
        <f t="shared" ref="AA46" si="89">V46*(1+AA47)</f>
        <v>1163.0080000000003</v>
      </c>
      <c r="AB46" s="22"/>
      <c r="AC46" s="29">
        <f>X46*(1+AC47)</f>
        <v>1213.23</v>
      </c>
      <c r="AD46" s="29">
        <f t="shared" ref="AD46" si="90">Y46*(1+AD47)</f>
        <v>1235.6960000000001</v>
      </c>
      <c r="AE46" s="29">
        <f>Z46*(1+AE47)</f>
        <v>1259.1589999999999</v>
      </c>
      <c r="AF46" s="29">
        <f t="shared" ref="AF46" si="91">AA46*(1+AF47)</f>
        <v>1267.6787200000003</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v>0.12</v>
      </c>
      <c r="Z47" s="59">
        <v>0.13</v>
      </c>
      <c r="AA47" s="59">
        <v>0.12</v>
      </c>
      <c r="AB47" s="19"/>
      <c r="AC47" s="59">
        <v>0.11</v>
      </c>
      <c r="AD47" s="59">
        <v>0.1</v>
      </c>
      <c r="AE47" s="59">
        <v>0.1</v>
      </c>
      <c r="AF47" s="59">
        <v>0.09</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92">T48*(1+Y49)</f>
        <v>860.2</v>
      </c>
      <c r="Z48" s="29">
        <f t="shared" ref="Z48" si="93">U48*(1+Z49)</f>
        <v>882.2</v>
      </c>
      <c r="AA48" s="29">
        <f t="shared" ref="AA48" si="94">V48*(1+AA49)</f>
        <v>890.96600000000001</v>
      </c>
      <c r="AB48" s="19"/>
      <c r="AC48" s="29">
        <f>X48*(1+AC49)</f>
        <v>935.69001302083336</v>
      </c>
      <c r="AD48" s="29">
        <f t="shared" ref="AD48" si="95">Y48*(1+AD49)</f>
        <v>946.22000000000014</v>
      </c>
      <c r="AE48" s="29">
        <f t="shared" ref="AE48" si="96">Z48*(1+AE49)</f>
        <v>961.59800000000007</v>
      </c>
      <c r="AF48" s="29">
        <f t="shared" ref="AF48" si="97">AA48*(1+AF49)</f>
        <v>971.15294000000006</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0.1</v>
      </c>
      <c r="Z49" s="59">
        <v>0.1</v>
      </c>
      <c r="AA49" s="59">
        <v>0.09</v>
      </c>
      <c r="AB49" s="19"/>
      <c r="AC49" s="59">
        <f>AVERAGE(X49,Y49,Z49,AA49)</f>
        <v>9.9518229166666694E-2</v>
      </c>
      <c r="AD49" s="59">
        <v>0.1</v>
      </c>
      <c r="AE49" s="59">
        <v>0.09</v>
      </c>
      <c r="AF49" s="59">
        <v>0.09</v>
      </c>
      <c r="AG49" s="19"/>
    </row>
    <row r="50" spans="1:33" s="21" customFormat="1" outlineLevel="1" x14ac:dyDescent="0.3">
      <c r="A50" s="141"/>
      <c r="B50" s="78" t="s">
        <v>81</v>
      </c>
      <c r="C50" s="36"/>
      <c r="D50" s="40">
        <f>+D42+D44+D46+D48</f>
        <v>1654</v>
      </c>
      <c r="E50" s="40">
        <f t="shared" ref="E50:G50" si="98">+E42+E44+E46+E48</f>
        <v>1712</v>
      </c>
      <c r="F50" s="40">
        <f t="shared" si="98"/>
        <v>1787</v>
      </c>
      <c r="G50" s="40">
        <f t="shared" si="98"/>
        <v>1859.8000000000002</v>
      </c>
      <c r="H50" s="95"/>
      <c r="I50" s="40">
        <f>+I42+I44+I46+I48</f>
        <v>1936</v>
      </c>
      <c r="J50" s="40">
        <f t="shared" ref="J50:L50" si="99">+J42+J44+J46+J48</f>
        <v>2006</v>
      </c>
      <c r="K50" s="40">
        <f t="shared" si="99"/>
        <v>2072</v>
      </c>
      <c r="L50" s="40">
        <f t="shared" si="99"/>
        <v>2129</v>
      </c>
      <c r="M50" s="95"/>
      <c r="N50" s="40">
        <f>+N42+N44+N46+N48</f>
        <v>2196</v>
      </c>
      <c r="O50" s="40">
        <f t="shared" ref="O50:Q50" si="100">+O42+O44+O46+O48</f>
        <v>2234</v>
      </c>
      <c r="P50" s="40">
        <f t="shared" si="100"/>
        <v>2270</v>
      </c>
      <c r="Q50" s="40">
        <f t="shared" si="100"/>
        <v>2320</v>
      </c>
      <c r="R50" s="95"/>
      <c r="S50" s="40">
        <f>+S42+S44+S46+S48</f>
        <v>2376</v>
      </c>
      <c r="T50" s="40">
        <f t="shared" ref="T50:V50" si="101">+T42+T44+T46+T48</f>
        <v>2414</v>
      </c>
      <c r="U50" s="40">
        <f t="shared" si="101"/>
        <v>2449</v>
      </c>
      <c r="V50" s="40">
        <f t="shared" si="101"/>
        <v>2497.8000000000002</v>
      </c>
      <c r="W50" s="96"/>
      <c r="X50" s="40">
        <f>+X42+X44+X46+X48</f>
        <v>2603</v>
      </c>
      <c r="Y50" s="40">
        <f t="shared" ref="Y50" si="102">+Y42+Y44+Y46+Y48</f>
        <v>2640.16</v>
      </c>
      <c r="Z50" s="40">
        <f>+Z42+Z44+Z46+Z48</f>
        <v>2688.7200000000003</v>
      </c>
      <c r="AA50" s="40">
        <f>+AA42+AA44+AA46+AA48</f>
        <v>2724.1340000000005</v>
      </c>
      <c r="AB50" s="95"/>
      <c r="AC50" s="40">
        <f>+AC42+AC44+AC46+AC48</f>
        <v>2836.2503936792696</v>
      </c>
      <c r="AD50" s="40">
        <f>+AD42+AD44+AD46+AD48</f>
        <v>2860.7760000000003</v>
      </c>
      <c r="AE50" s="40">
        <f t="shared" ref="AE50:AF50" si="103">+AE42+AE44+AE46+AE48</f>
        <v>2898.4171000000001</v>
      </c>
      <c r="AF50" s="40">
        <f t="shared" si="103"/>
        <v>2924.9988600000006</v>
      </c>
      <c r="AG50" s="95"/>
    </row>
    <row r="51" spans="1:33" ht="17.399999999999999" x14ac:dyDescent="0.45">
      <c r="A51" s="138"/>
      <c r="B51" s="185" t="s">
        <v>87</v>
      </c>
      <c r="C51" s="186"/>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04">T52*(1+Y53)</f>
        <v>35.266200000000005</v>
      </c>
      <c r="Z52" s="45">
        <f t="shared" ref="Z52" si="105">U52*(1+Z53)</f>
        <v>37.314</v>
      </c>
      <c r="AA52" s="45">
        <f t="shared" ref="AA52" si="106">V52*(1+AA53)</f>
        <v>46.436899626425252</v>
      </c>
      <c r="AB52" s="19"/>
      <c r="AC52" s="45">
        <f>X52*(1+AC53)</f>
        <v>40.3324</v>
      </c>
      <c r="AD52" s="45">
        <f t="shared" ref="AD52" si="107">Y52*(1+AD53)</f>
        <v>42.672102000000002</v>
      </c>
      <c r="AE52" s="45">
        <f t="shared" ref="AE52" si="108">Z52*(1+AE53)</f>
        <v>47.015639999999998</v>
      </c>
      <c r="AF52" s="45">
        <f t="shared" ref="AF52" si="109">AA52*(1+AF53)</f>
        <v>60.832338510617085</v>
      </c>
      <c r="AG52" s="19"/>
    </row>
    <row r="53" spans="1:33" ht="15.6" outlineLevel="1" x14ac:dyDescent="0.3">
      <c r="A53" s="138"/>
      <c r="B53" s="47" t="s">
        <v>142</v>
      </c>
      <c r="C53" s="48"/>
      <c r="D53" s="45"/>
      <c r="E53" s="45"/>
      <c r="F53" s="45"/>
      <c r="G53" s="45"/>
      <c r="H53" s="19"/>
      <c r="I53" s="55">
        <f>+I52/D52-1</f>
        <v>0.373698905109489</v>
      </c>
      <c r="J53" s="55">
        <f t="shared" ref="J53:L53" si="110">+J52/E52-1</f>
        <v>0.35153175591531749</v>
      </c>
      <c r="K53" s="55">
        <f t="shared" si="110"/>
        <v>0.35477528089887644</v>
      </c>
      <c r="L53" s="55">
        <f t="shared" si="110"/>
        <v>0.35092186128182612</v>
      </c>
      <c r="M53" s="19"/>
      <c r="N53" s="55">
        <f>+N52/I52-1</f>
        <v>0.38195664909197413</v>
      </c>
      <c r="O53" s="55">
        <f t="shared" ref="O53" si="111">+O52/J52-1</f>
        <v>0.33694530443756454</v>
      </c>
      <c r="P53" s="55">
        <f t="shared" ref="P53" si="112">+P52/K52-1</f>
        <v>0.3023584905660377</v>
      </c>
      <c r="Q53" s="55">
        <f t="shared" ref="Q53" si="113">+Q52/L52-1</f>
        <v>0.30269058295964113</v>
      </c>
      <c r="R53" s="19"/>
      <c r="S53" s="140">
        <f>+S52/N52-1</f>
        <v>0.27681220856295052</v>
      </c>
      <c r="T53" s="55">
        <f t="shared" ref="T53:V53" si="114">+T52/O52-1</f>
        <v>0.28406020841374002</v>
      </c>
      <c r="U53" s="55">
        <f t="shared" si="114"/>
        <v>0.25135820354943861</v>
      </c>
      <c r="V53" s="55">
        <f t="shared" si="114"/>
        <v>0.18789443488238655</v>
      </c>
      <c r="W53" s="19"/>
      <c r="X53" s="140">
        <f>+X52/S52-1</f>
        <v>0.13479415670650718</v>
      </c>
      <c r="Y53" s="59">
        <v>0.06</v>
      </c>
      <c r="Z53" s="59">
        <v>0.08</v>
      </c>
      <c r="AA53" s="59">
        <f>AVERAGE(V53,X53,Y53,Z53)+0.572122632217421%</f>
        <v>0.12139337421939765</v>
      </c>
      <c r="AB53" s="19"/>
      <c r="AC53" s="59">
        <v>0.18</v>
      </c>
      <c r="AD53" s="59">
        <v>0.21</v>
      </c>
      <c r="AE53" s="59">
        <v>0.26</v>
      </c>
      <c r="AF53" s="59">
        <v>0.31</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15">T54*(1+Y55)</f>
        <v>10.351121700441896</v>
      </c>
      <c r="Z54" s="45">
        <f t="shared" ref="Z54" si="116">U54*(1+Z55)</f>
        <v>10.935015891903278</v>
      </c>
      <c r="AA54" s="45">
        <f t="shared" ref="AA54" si="117">V54*(1+AA55)</f>
        <v>14.096738121680024</v>
      </c>
      <c r="AB54" s="19"/>
      <c r="AC54" s="45">
        <f>X54*(1+AC55)</f>
        <v>11.916800000000002</v>
      </c>
      <c r="AD54" s="45">
        <f t="shared" ref="AD54" si="118">Y54*(1+AD55)</f>
        <v>11.903789955508179</v>
      </c>
      <c r="AE54" s="45">
        <f t="shared" ref="AE54" si="119">Z54*(1+AE55)</f>
        <v>13.012668911364901</v>
      </c>
      <c r="AF54" s="45">
        <f t="shared" ref="AF54" si="120">AA54*(1+AF55)</f>
        <v>17.504085566314401</v>
      </c>
      <c r="AG54" s="19"/>
    </row>
    <row r="55" spans="1:33" outlineLevel="1" x14ac:dyDescent="0.3">
      <c r="A55" s="138"/>
      <c r="B55" s="47" t="s">
        <v>145</v>
      </c>
      <c r="C55" s="71"/>
      <c r="D55" s="45"/>
      <c r="E55" s="45"/>
      <c r="F55" s="45"/>
      <c r="G55" s="45"/>
      <c r="H55" s="19"/>
      <c r="I55" s="55">
        <f>+I54/D54-1</f>
        <v>0.36018362662586068</v>
      </c>
      <c r="J55" s="55">
        <f t="shared" ref="J55" si="121">+J54/E54-1</f>
        <v>0.32929968454258685</v>
      </c>
      <c r="K55" s="55">
        <f t="shared" ref="K55" si="122">+K54/F54-1</f>
        <v>0.45109034267912751</v>
      </c>
      <c r="L55" s="55">
        <f t="shared" ref="L55" si="123">+L54/G54-1</f>
        <v>0.48238740920096834</v>
      </c>
      <c r="M55" s="19"/>
      <c r="N55" s="55">
        <f>+N54/I54-1</f>
        <v>0.49815498154981541</v>
      </c>
      <c r="O55" s="55">
        <f t="shared" ref="O55" si="124">+O54/J54-1</f>
        <v>0.39490445859872603</v>
      </c>
      <c r="P55" s="55">
        <f t="shared" ref="P55" si="125">+P54/K54-1</f>
        <v>0.28759124087591248</v>
      </c>
      <c r="Q55" s="55">
        <f t="shared" ref="Q55" si="126">+Q54/L54-1</f>
        <v>0.23927765237020338</v>
      </c>
      <c r="R55" s="19"/>
      <c r="S55" s="140">
        <f>+S54/N54-1</f>
        <v>0.17610837438423665</v>
      </c>
      <c r="T55" s="55">
        <f t="shared" ref="T55:V55" si="127">+T54/O54-1</f>
        <v>0.22146118721461172</v>
      </c>
      <c r="U55" s="55">
        <f t="shared" si="127"/>
        <v>0.21088435374149661</v>
      </c>
      <c r="V55" s="55">
        <f t="shared" si="127"/>
        <v>0.2030965391621129</v>
      </c>
      <c r="W55" s="19"/>
      <c r="X55" s="140">
        <f>+X54/S54-1</f>
        <v>0.11413612565445019</v>
      </c>
      <c r="Y55" s="59">
        <f>AVERAGE(T55,U55,V55,X55)-22%</f>
        <v>-3.2605448556832145E-2</v>
      </c>
      <c r="Z55" s="59">
        <f>AVERAGE(U55,V55,X55,Y55)-10%</f>
        <v>2.3877892500306891E-2</v>
      </c>
      <c r="AA55" s="59">
        <f>AVERAGE(V55,X55,Y55,Z55)-1%</f>
        <v>6.7126277190009478E-2</v>
      </c>
      <c r="AB55" s="19"/>
      <c r="AC55" s="59">
        <v>0.12</v>
      </c>
      <c r="AD55" s="59">
        <v>0.15</v>
      </c>
      <c r="AE55" s="59">
        <v>0.19</v>
      </c>
      <c r="AF55" s="59">
        <f>AVERAGE(AA55,AC55,AD55,AE55)+10.9930195170482%</f>
        <v>0.24171176446798434</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28">T56*(1+Y57)</f>
        <v>3.1920000000000002</v>
      </c>
      <c r="Z56" s="45">
        <f t="shared" ref="Z56" si="129">U56*(1+Z57)</f>
        <v>3.6288000000000005</v>
      </c>
      <c r="AA56" s="45">
        <f t="shared" ref="AA56" si="130">V56*(1+AA57)</f>
        <v>4.1054999999999993</v>
      </c>
      <c r="AB56" s="19"/>
      <c r="AC56" s="45">
        <f>X56*(1+AC57)</f>
        <v>3.7332000000000001</v>
      </c>
      <c r="AD56" s="45">
        <f t="shared" ref="AD56" si="131">Y56*(1+AD57)</f>
        <v>3.99</v>
      </c>
      <c r="AE56" s="45">
        <f t="shared" ref="AE56" si="132">Z56*(1+AE57)</f>
        <v>4.644864000000001</v>
      </c>
      <c r="AF56" s="45">
        <f t="shared" ref="AF56" si="133">AA56*(1+AF57)</f>
        <v>5.4192599999999995</v>
      </c>
      <c r="AG56" s="19"/>
    </row>
    <row r="57" spans="1:33" outlineLevel="1" x14ac:dyDescent="0.3">
      <c r="A57" s="138"/>
      <c r="B57" s="47" t="s">
        <v>144</v>
      </c>
      <c r="C57" s="71"/>
      <c r="D57" s="45"/>
      <c r="E57" s="45"/>
      <c r="F57" s="45"/>
      <c r="G57" s="45"/>
      <c r="H57" s="19"/>
      <c r="I57" s="55">
        <f>+I56/D56-1</f>
        <v>0.27023201856148504</v>
      </c>
      <c r="J57" s="55">
        <f t="shared" ref="J57" si="134">+J56/E56-1</f>
        <v>0.20319024390243889</v>
      </c>
      <c r="K57" s="55">
        <f t="shared" ref="K57" si="135">+K56/F56-1</f>
        <v>0.20089688041594456</v>
      </c>
      <c r="L57" s="55">
        <f t="shared" ref="L57" si="136">+L56/G56-1</f>
        <v>0.22612898443291329</v>
      </c>
      <c r="M57" s="19"/>
      <c r="N57" s="55">
        <f>+N56/I56-1</f>
        <v>0.24242424242424243</v>
      </c>
      <c r="O57" s="55">
        <f t="shared" ref="O57" si="137">+O56/J56-1</f>
        <v>0.23004694835680772</v>
      </c>
      <c r="P57" s="55">
        <f t="shared" ref="P57" si="138">+P56/K56-1</f>
        <v>0.17621145374449343</v>
      </c>
      <c r="Q57" s="55">
        <f t="shared" ref="Q57" si="139">+Q56/L56-1</f>
        <v>0.16535433070866135</v>
      </c>
      <c r="R57" s="19"/>
      <c r="S57" s="140">
        <f>+S56/N56-1</f>
        <v>0.13008130081300817</v>
      </c>
      <c r="T57" s="55">
        <f t="shared" ref="T57:V57" si="140">+T56/O56-1</f>
        <v>0.16030534351145032</v>
      </c>
      <c r="U57" s="55">
        <f t="shared" si="140"/>
        <v>0.21348314606741581</v>
      </c>
      <c r="V57" s="55">
        <f t="shared" si="140"/>
        <v>0.20608108108108114</v>
      </c>
      <c r="W57" s="22"/>
      <c r="X57" s="140">
        <f>+X56/S56-1</f>
        <v>0.10071942446043169</v>
      </c>
      <c r="Y57" s="59">
        <v>0.05</v>
      </c>
      <c r="Z57" s="59">
        <v>0.12</v>
      </c>
      <c r="AA57" s="59">
        <v>0.15</v>
      </c>
      <c r="AB57" s="19"/>
      <c r="AC57" s="59">
        <v>0.22</v>
      </c>
      <c r="AD57" s="59">
        <v>0.25</v>
      </c>
      <c r="AE57" s="59">
        <v>0.28000000000000003</v>
      </c>
      <c r="AF57" s="59">
        <v>0.32</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41">T58*(1+Y59)</f>
        <v>2.0234999999999999</v>
      </c>
      <c r="Z58" s="45">
        <f t="shared" ref="Z58" si="142">U58*(1+Z59)</f>
        <v>2.2624000000000004</v>
      </c>
      <c r="AA58" s="45">
        <f t="shared" ref="AA58" si="143">V58*(1+AA59)</f>
        <v>2.5719246119511525</v>
      </c>
      <c r="AB58" s="19"/>
      <c r="AC58" s="45">
        <f>X58*(1+AC59)</f>
        <v>2.1492</v>
      </c>
      <c r="AD58" s="45">
        <f t="shared" ref="AD58" si="144">Y58*(1+AD59)</f>
        <v>2.2460849999999999</v>
      </c>
      <c r="AE58" s="45">
        <f t="shared" ref="AE58" si="145">Z58*(1+AE59)</f>
        <v>2.5791360000000005</v>
      </c>
      <c r="AF58" s="45">
        <f t="shared" ref="AF58" si="146">AA58*(1+AF59)</f>
        <v>3.0605902882218712</v>
      </c>
      <c r="AG58" s="19"/>
    </row>
    <row r="59" spans="1:33" ht="16.2" outlineLevel="1" x14ac:dyDescent="0.45">
      <c r="A59" s="138"/>
      <c r="B59" s="47" t="s">
        <v>143</v>
      </c>
      <c r="C59" s="71"/>
      <c r="D59" s="97"/>
      <c r="E59" s="97"/>
      <c r="F59" s="97"/>
      <c r="G59" s="97"/>
      <c r="H59" s="98"/>
      <c r="I59" s="55">
        <f>+I58/D58-1</f>
        <v>0.39887949260042288</v>
      </c>
      <c r="J59" s="55">
        <f t="shared" ref="J59" si="147">+J58/E58-1</f>
        <v>0.3124755700325732</v>
      </c>
      <c r="K59" s="55">
        <f t="shared" ref="K59" si="148">+K58/F58-1</f>
        <v>0.31312861271676296</v>
      </c>
      <c r="L59" s="55">
        <f t="shared" ref="L59" si="149">+L58/G58-1</f>
        <v>0.32283909415971412</v>
      </c>
      <c r="M59" s="98"/>
      <c r="N59" s="55">
        <f>+N58/I58-1</f>
        <v>0.32283464566929121</v>
      </c>
      <c r="O59" s="55">
        <f t="shared" ref="O59" si="150">+O58/J58-1</f>
        <v>0.29054054054054057</v>
      </c>
      <c r="P59" s="55">
        <f t="shared" ref="P59" si="151">+P58/K58-1</f>
        <v>0.14465408805031443</v>
      </c>
      <c r="Q59" s="55">
        <f t="shared" ref="Q59" si="152">+Q58/L58-1</f>
        <v>0.13440860215053752</v>
      </c>
      <c r="R59" s="98"/>
      <c r="S59" s="140">
        <f>+S58/N58-1</f>
        <v>0.125</v>
      </c>
      <c r="T59" s="55">
        <f t="shared" ref="T59:V59" si="153">+T58/O58-1</f>
        <v>0.11518324607329844</v>
      </c>
      <c r="U59" s="55">
        <f t="shared" si="153"/>
        <v>0.23076923076923084</v>
      </c>
      <c r="V59" s="55">
        <f t="shared" si="153"/>
        <v>0.17535545023696697</v>
      </c>
      <c r="W59" s="98"/>
      <c r="X59" s="140">
        <f>+X58/S58-1</f>
        <v>5.2910052910053018E-2</v>
      </c>
      <c r="Y59" s="59">
        <v>-0.05</v>
      </c>
      <c r="Z59" s="59">
        <v>0.01</v>
      </c>
      <c r="AA59" s="59">
        <f>AVERAGE(V59,X59,Y59,Z59)-1%</f>
        <v>3.7066375786755E-2</v>
      </c>
      <c r="AB59" s="19"/>
      <c r="AC59" s="59">
        <v>0.08</v>
      </c>
      <c r="AD59" s="59">
        <v>0.11</v>
      </c>
      <c r="AE59" s="59">
        <v>0.14000000000000001</v>
      </c>
      <c r="AF59" s="59">
        <v>0.19</v>
      </c>
      <c r="AG59" s="19"/>
    </row>
    <row r="60" spans="1:33" outlineLevel="1" x14ac:dyDescent="0.3">
      <c r="A60" s="138"/>
      <c r="B60" s="78" t="s">
        <v>90</v>
      </c>
      <c r="C60" s="71"/>
      <c r="D60" s="43"/>
      <c r="E60" s="43">
        <f>+E40/((D50+E50)/2)</f>
        <v>3.8241235888294711</v>
      </c>
      <c r="F60" s="43">
        <f t="shared" ref="F60:G60" si="154">+F40/((E50+F50)/2)</f>
        <v>4.007430694484138</v>
      </c>
      <c r="G60" s="43">
        <f t="shared" si="154"/>
        <v>4.831084786662279</v>
      </c>
      <c r="H60" s="19"/>
      <c r="I60" s="43">
        <f>+I40/((G50+I50)/2)</f>
        <v>4.2320459455187311</v>
      </c>
      <c r="J60" s="43">
        <f>+J40/((I50+J50)/2)</f>
        <v>4.7290715372907153</v>
      </c>
      <c r="K60" s="43">
        <f t="shared" ref="K60:L60" si="155">+K40/((J50+K50)/2)</f>
        <v>5.0652280529671412</v>
      </c>
      <c r="L60" s="43">
        <f t="shared" si="155"/>
        <v>6.1756724589383483</v>
      </c>
      <c r="M60" s="19"/>
      <c r="N60" s="43">
        <f>+N40/((L50+N50)/2)</f>
        <v>5.5334104046242771</v>
      </c>
      <c r="O60" s="43">
        <f>+O40/((N50+O50)/2)</f>
        <v>5.9733634311512418</v>
      </c>
      <c r="P60" s="43">
        <f t="shared" ref="P60:Q60" si="156">+P40/((O50+P50)/2)</f>
        <v>6.0954706927175843</v>
      </c>
      <c r="Q60" s="43">
        <f t="shared" si="156"/>
        <v>7.3699346405228754</v>
      </c>
      <c r="R60" s="19"/>
      <c r="S60" s="136">
        <f>+S40/((Q50+S50)/2)</f>
        <v>6.4212095400340718</v>
      </c>
      <c r="T60" s="43">
        <f>+T40/((S50+T50)/2)</f>
        <v>7.0505219206680581</v>
      </c>
      <c r="U60" s="43">
        <f t="shared" ref="U60:V60" si="157">+U40/((T50+U50)/2)</f>
        <v>7.2597162245527453</v>
      </c>
      <c r="V60" s="43">
        <f t="shared" si="157"/>
        <v>8.5234899328859051</v>
      </c>
      <c r="W60" s="19"/>
      <c r="X60" s="43">
        <f>+X40/((V50+X50)/2)</f>
        <v>6.954595357590966</v>
      </c>
      <c r="Y60" s="43">
        <f>+Y40/((X50+Y50)/2)</f>
        <v>7.0266648164916479</v>
      </c>
      <c r="Z60" s="43">
        <f t="shared" ref="Z60:AA60" si="158">+Z40/((Y50+Z50)/2)</f>
        <v>7.5417430790881586</v>
      </c>
      <c r="AA60" s="43">
        <f t="shared" si="158"/>
        <v>9.167107882138124</v>
      </c>
      <c r="AB60" s="19"/>
      <c r="AC60" s="43">
        <f>+AC40/((AA50+AC50)/2)</f>
        <v>7.8961962923934568</v>
      </c>
      <c r="AD60" s="43">
        <f>+AD40/((AC50+AD50)/2)</f>
        <v>8.1824312300240134</v>
      </c>
      <c r="AE60" s="43">
        <f t="shared" ref="AE60:AF60" si="159">+AE40/((AD50+AE50)/2)</f>
        <v>9.0818252824161938</v>
      </c>
      <c r="AF60" s="43">
        <f t="shared" si="159"/>
        <v>11.449801079934156</v>
      </c>
      <c r="AG60" s="19"/>
    </row>
    <row r="61" spans="1:33" ht="17.399999999999999" x14ac:dyDescent="0.45">
      <c r="A61" s="138"/>
      <c r="B61" s="185" t="s">
        <v>26</v>
      </c>
      <c r="C61" s="186"/>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43"/>
      <c r="B62" s="70" t="s">
        <v>19</v>
      </c>
      <c r="C62" s="48"/>
      <c r="D62" s="45">
        <f>+D40-D13</f>
        <v>0</v>
      </c>
      <c r="E62" s="45">
        <f t="shared" ref="E62:G62" si="160">+E40-E13</f>
        <v>0</v>
      </c>
      <c r="F62" s="45">
        <f t="shared" si="160"/>
        <v>0</v>
      </c>
      <c r="G62" s="45">
        <f t="shared" si="160"/>
        <v>0</v>
      </c>
      <c r="H62" s="19"/>
      <c r="I62" s="45">
        <f>+I40-I13</f>
        <v>0</v>
      </c>
      <c r="J62" s="45">
        <f t="shared" ref="J62:L62" si="161">+J40-J13</f>
        <v>0</v>
      </c>
      <c r="K62" s="45">
        <f t="shared" si="161"/>
        <v>0</v>
      </c>
      <c r="L62" s="45">
        <f t="shared" si="161"/>
        <v>0</v>
      </c>
      <c r="M62" s="19"/>
      <c r="N62" s="45">
        <f>+N40-N13</f>
        <v>0</v>
      </c>
      <c r="O62" s="45">
        <f t="shared" ref="O62:Q62" si="162">+O40-O13</f>
        <v>0</v>
      </c>
      <c r="P62" s="45">
        <f t="shared" si="162"/>
        <v>0</v>
      </c>
      <c r="Q62" s="45">
        <f t="shared" si="162"/>
        <v>0</v>
      </c>
      <c r="R62" s="19"/>
      <c r="S62" s="45">
        <f>+S40-S13</f>
        <v>0</v>
      </c>
      <c r="T62" s="45">
        <f t="shared" ref="T62:V62" si="163">+T40-T13</f>
        <v>0</v>
      </c>
      <c r="U62" s="45">
        <f t="shared" si="163"/>
        <v>0</v>
      </c>
      <c r="V62" s="45">
        <f t="shared" si="163"/>
        <v>0</v>
      </c>
      <c r="W62" s="19"/>
      <c r="X62" s="45">
        <f>+X40-X13</f>
        <v>0</v>
      </c>
      <c r="Y62" s="45">
        <f t="shared" ref="Y62:AA62" si="164">+Y40-Y13</f>
        <v>0</v>
      </c>
      <c r="Z62" s="45">
        <f t="shared" si="164"/>
        <v>0</v>
      </c>
      <c r="AA62" s="45">
        <f t="shared" si="164"/>
        <v>0</v>
      </c>
      <c r="AB62" s="19"/>
      <c r="AC62" s="45">
        <f>+AC40-AC13</f>
        <v>0</v>
      </c>
      <c r="AD62" s="45">
        <f t="shared" ref="AD62:AF62" si="165">+AD40-AD13</f>
        <v>0</v>
      </c>
      <c r="AE62" s="45">
        <f t="shared" si="165"/>
        <v>0</v>
      </c>
      <c r="AF62" s="45">
        <f t="shared" si="165"/>
        <v>0</v>
      </c>
      <c r="AG62" s="19"/>
    </row>
    <row r="63" spans="1:33" ht="15" customHeight="1" x14ac:dyDescent="0.45">
      <c r="A63" s="138"/>
      <c r="B63" s="185" t="s">
        <v>16</v>
      </c>
      <c r="C63" s="186"/>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190" t="s">
        <v>101</v>
      </c>
      <c r="C64" s="191"/>
      <c r="D64" s="55"/>
      <c r="E64" s="55"/>
      <c r="F64" s="55"/>
      <c r="G64" s="55"/>
      <c r="H64" s="53"/>
      <c r="I64" s="55">
        <f t="shared" ref="I64:AG64" si="166">I13/D13-1</f>
        <v>0.49238201412114457</v>
      </c>
      <c r="J64" s="55">
        <f t="shared" si="166"/>
        <v>0.44825978868862637</v>
      </c>
      <c r="K64" s="55">
        <f t="shared" si="166"/>
        <v>0.47311367850520614</v>
      </c>
      <c r="L64" s="55">
        <f t="shared" si="166"/>
        <v>0.47258485639686687</v>
      </c>
      <c r="M64" s="53">
        <f t="shared" si="166"/>
        <v>0.47090961719371882</v>
      </c>
      <c r="N64" s="55">
        <f t="shared" si="166"/>
        <v>0.48979083665338652</v>
      </c>
      <c r="O64" s="55">
        <f t="shared" si="166"/>
        <v>0.41948288810213485</v>
      </c>
      <c r="P64" s="55">
        <f t="shared" si="166"/>
        <v>0.32910534469403574</v>
      </c>
      <c r="Q64" s="55">
        <f t="shared" si="166"/>
        <v>0.30388529139685483</v>
      </c>
      <c r="R64" s="54">
        <f t="shared" si="166"/>
        <v>0.37352716896661997</v>
      </c>
      <c r="S64" s="55">
        <f t="shared" si="166"/>
        <v>0.25998662878154777</v>
      </c>
      <c r="T64" s="55">
        <f t="shared" si="166"/>
        <v>0.2762451817700855</v>
      </c>
      <c r="U64" s="55">
        <f t="shared" si="166"/>
        <v>0.2859328331026445</v>
      </c>
      <c r="V64" s="55">
        <f t="shared" si="166"/>
        <v>0.2464230814709707</v>
      </c>
      <c r="W64" s="54">
        <f t="shared" si="166"/>
        <v>0.26610910132884413</v>
      </c>
      <c r="X64" s="55">
        <f t="shared" si="166"/>
        <v>0.17642767128739134</v>
      </c>
      <c r="Y64" s="55">
        <f t="shared" si="166"/>
        <v>9.0901572285809085E-2</v>
      </c>
      <c r="Z64" s="55">
        <f t="shared" si="166"/>
        <v>0.13837083218024326</v>
      </c>
      <c r="AA64" s="55">
        <f t="shared" si="166"/>
        <v>0.17683845385311847</v>
      </c>
      <c r="AB64" s="53">
        <f t="shared" si="166"/>
        <v>0.14662000033092304</v>
      </c>
      <c r="AC64" s="55">
        <f t="shared" si="166"/>
        <v>0.23769201763693659</v>
      </c>
      <c r="AD64" s="55">
        <f t="shared" si="166"/>
        <v>0.26528467265358757</v>
      </c>
      <c r="AE64" s="55">
        <f t="shared" si="166"/>
        <v>0.30144886464634668</v>
      </c>
      <c r="AF64" s="55">
        <f t="shared" si="166"/>
        <v>0.3437457342812249</v>
      </c>
      <c r="AG64" s="53">
        <f t="shared" si="166"/>
        <v>0.29222581220931909</v>
      </c>
    </row>
    <row r="65" spans="1:33" s="42" customFormat="1" outlineLevel="1" x14ac:dyDescent="0.3">
      <c r="A65" s="145"/>
      <c r="B65" s="190" t="s">
        <v>102</v>
      </c>
      <c r="C65" s="191"/>
      <c r="D65" s="55"/>
      <c r="E65" s="55">
        <f>+E13/D13-1</f>
        <v>0.19583797844667417</v>
      </c>
      <c r="F65" s="55">
        <f t="shared" ref="F65:L65" si="167">+F13/E13-1</f>
        <v>8.9341205717837102E-2</v>
      </c>
      <c r="G65" s="55">
        <f t="shared" si="167"/>
        <v>0.25645414348880324</v>
      </c>
      <c r="H65" s="53"/>
      <c r="I65" s="55">
        <f>+I13/G13-1</f>
        <v>-8.8205244636167524E-2</v>
      </c>
      <c r="J65" s="55">
        <f t="shared" si="167"/>
        <v>0.16048306772908361</v>
      </c>
      <c r="K65" s="55">
        <f t="shared" si="167"/>
        <v>0.10803561849586951</v>
      </c>
      <c r="L65" s="55">
        <f t="shared" si="167"/>
        <v>0.25600309837335389</v>
      </c>
      <c r="M65" s="53"/>
      <c r="N65" s="55">
        <f>+N13/L13-1</f>
        <v>-7.755164970706141E-2</v>
      </c>
      <c r="O65" s="55">
        <f t="shared" ref="O65:Q65" si="168">+O13/N13-1</f>
        <v>0.10571619588835035</v>
      </c>
      <c r="P65" s="55">
        <f t="shared" si="168"/>
        <v>3.7487718237472656E-2</v>
      </c>
      <c r="Q65" s="55">
        <f t="shared" si="168"/>
        <v>0.23217017556640207</v>
      </c>
      <c r="R65" s="54"/>
      <c r="S65" s="55">
        <f>+S13/Q13-1</f>
        <v>-0.10860825351779591</v>
      </c>
      <c r="T65" s="55">
        <f t="shared" ref="T65:V65" si="169">+T13/S13-1</f>
        <v>0.11998408171386887</v>
      </c>
      <c r="U65" s="55">
        <f t="shared" si="169"/>
        <v>4.536302262229075E-2</v>
      </c>
      <c r="V65" s="55">
        <f t="shared" si="169"/>
        <v>0.19431225923408113</v>
      </c>
      <c r="W65" s="54"/>
      <c r="X65" s="55">
        <f>+X13/V13-1</f>
        <v>-0.15866616070581541</v>
      </c>
      <c r="Y65" s="55">
        <f t="shared" ref="Y65:AA65" si="170">+Y13/X13-1</f>
        <v>3.8561422428718073E-2</v>
      </c>
      <c r="Z65" s="55">
        <f t="shared" si="170"/>
        <v>9.0850727714613777E-2</v>
      </c>
      <c r="AA65" s="55">
        <f t="shared" si="170"/>
        <v>0.23467024351193122</v>
      </c>
      <c r="AB65" s="53"/>
      <c r="AC65" s="55">
        <f>+AC13/AA13-1</f>
        <v>-0.11516132596376216</v>
      </c>
      <c r="AD65" s="55">
        <f t="shared" ref="AD65:AF65" si="171">+AD13/AC13-1</f>
        <v>6.1714732488348689E-2</v>
      </c>
      <c r="AE65" s="55">
        <f t="shared" si="171"/>
        <v>0.12202927275284403</v>
      </c>
      <c r="AF65" s="55">
        <f t="shared" si="171"/>
        <v>0.27479681916965304</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18695.963949618174</v>
      </c>
      <c r="Z66" s="29">
        <f>+Z84+Z13</f>
        <v>20244.521929645653</v>
      </c>
      <c r="AA66" s="29">
        <f>+AA84+AA13</f>
        <v>24910.108284131442</v>
      </c>
      <c r="AB66" s="30">
        <f>SUM(X66:AA66)</f>
        <v>81862.594163395261</v>
      </c>
      <c r="AC66" s="29">
        <f>+AC84+AC13</f>
        <v>22002.943316826346</v>
      </c>
      <c r="AD66" s="29">
        <f>+AD84+AD13</f>
        <v>23357.763340956168</v>
      </c>
      <c r="AE66" s="29">
        <f>+AE84+AE13</f>
        <v>26201.992750948448</v>
      </c>
      <c r="AF66" s="29">
        <f>+AF84+AF13</f>
        <v>33388.477173856903</v>
      </c>
      <c r="AG66" s="30">
        <f>SUM(AC66:AF66)</f>
        <v>104951.17658258785</v>
      </c>
    </row>
    <row r="67" spans="1:33" s="42" customFormat="1" outlineLevel="1" x14ac:dyDescent="0.3">
      <c r="A67" s="145"/>
      <c r="B67" s="190" t="s">
        <v>103</v>
      </c>
      <c r="C67" s="191"/>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72">+T66/O13-1</f>
        <v>0.31962814602070888</v>
      </c>
      <c r="U67" s="55">
        <f t="shared" si="172"/>
        <v>0.30756902455015656</v>
      </c>
      <c r="V67" s="55">
        <f t="shared" si="172"/>
        <v>0.26386425446375794</v>
      </c>
      <c r="W67" s="147">
        <f>+W66/R13-1</f>
        <v>0.29599914037035702</v>
      </c>
      <c r="X67" s="55">
        <f>+X66/S13-1</f>
        <v>0.19466737414605029</v>
      </c>
      <c r="Y67" s="55">
        <f t="shared" ref="Y67" si="173">+Y66/T13-1</f>
        <v>0.1071872527311486</v>
      </c>
      <c r="Z67" s="55">
        <f t="shared" ref="Z67" si="174">+Z66/U13-1</f>
        <v>0.14686845284645655</v>
      </c>
      <c r="AA67" s="55">
        <f t="shared" ref="AA67" si="175">+AA66/V13-1</f>
        <v>0.1815818368338602</v>
      </c>
      <c r="AB67" s="147">
        <f>+AB66/W13-1</f>
        <v>0.15793589775231287</v>
      </c>
      <c r="AC67" s="55">
        <f>+AC66/X13-1</f>
        <v>0.24051098364020662</v>
      </c>
      <c r="AD67" s="55">
        <f t="shared" ref="AD67" si="176">+AD66/Y13-1</f>
        <v>0.26799897143495155</v>
      </c>
      <c r="AE67" s="55">
        <f t="shared" ref="AE67" si="177">+AE66/Z13-1</f>
        <v>0.30393710498244708</v>
      </c>
      <c r="AF67" s="55">
        <f t="shared" ref="AF67" si="178">+AF66/AA13-1</f>
        <v>0.34576104189001833</v>
      </c>
      <c r="AG67" s="147">
        <f>+AG66/AB13-1</f>
        <v>0.2946930414173663</v>
      </c>
    </row>
    <row r="68" spans="1:33" s="42" customFormat="1" outlineLevel="1" x14ac:dyDescent="0.3">
      <c r="A68" s="145"/>
      <c r="B68" s="190" t="s">
        <v>104</v>
      </c>
      <c r="C68" s="191"/>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79">+U66/T66-1</f>
        <v>2.8006872852233577E-2</v>
      </c>
      <c r="V68" s="55">
        <f t="shared" si="179"/>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80">+D15/D13</f>
        <v>0.84429580081753997</v>
      </c>
      <c r="E69" s="55">
        <f t="shared" si="180"/>
        <v>0.8576755748912368</v>
      </c>
      <c r="F69" s="55">
        <f t="shared" si="180"/>
        <v>0.85922122379118526</v>
      </c>
      <c r="G69" s="55">
        <f t="shared" si="180"/>
        <v>0.88103076399137248</v>
      </c>
      <c r="H69" s="53">
        <f t="shared" si="180"/>
        <v>0.86290614371517471</v>
      </c>
      <c r="I69" s="55">
        <f t="shared" si="180"/>
        <v>0.85570219123505975</v>
      </c>
      <c r="J69" s="55">
        <f t="shared" si="180"/>
        <v>0.86728891749812254</v>
      </c>
      <c r="K69" s="55">
        <f t="shared" si="180"/>
        <v>0.85979860573199074</v>
      </c>
      <c r="L69" s="55">
        <f t="shared" si="180"/>
        <v>0.87580943570767811</v>
      </c>
      <c r="M69" s="53">
        <f t="shared" si="180"/>
        <v>0.86581556096721024</v>
      </c>
      <c r="N69" s="55">
        <f t="shared" si="180"/>
        <v>0.8389603877653351</v>
      </c>
      <c r="O69" s="55">
        <f t="shared" si="180"/>
        <v>0.83266570931902351</v>
      </c>
      <c r="P69" s="55">
        <f t="shared" si="180"/>
        <v>0.82385080498288044</v>
      </c>
      <c r="Q69" s="55">
        <f t="shared" si="180"/>
        <v>0.83469315360056762</v>
      </c>
      <c r="R69" s="54">
        <f t="shared" si="180"/>
        <v>0.8324617643898421</v>
      </c>
      <c r="S69" s="144">
        <f>+S15/S13</f>
        <v>0.81322544272733299</v>
      </c>
      <c r="T69" s="55">
        <f t="shared" ref="T69:U69" si="181">+T15/T13</f>
        <v>0.80415729006277392</v>
      </c>
      <c r="U69" s="55">
        <f t="shared" si="181"/>
        <v>0.82126671198731027</v>
      </c>
      <c r="V69" s="55">
        <f t="shared" ref="V69" si="182">+V15/V13</f>
        <v>0.83436106631249407</v>
      </c>
      <c r="W69" s="147">
        <f>+W15/W13</f>
        <v>0.81936998741106415</v>
      </c>
      <c r="X69" s="144">
        <f>+X15/X13</f>
        <v>0.80498393189378137</v>
      </c>
      <c r="Y69" s="60">
        <v>0.78500000000000003</v>
      </c>
      <c r="Z69" s="60">
        <v>0.79500000000000004</v>
      </c>
      <c r="AA69" s="60">
        <v>0.81</v>
      </c>
      <c r="AB69" s="54">
        <f>+AB15/AB13</f>
        <v>0.79950302619269775</v>
      </c>
      <c r="AC69" s="60">
        <v>0.80500000000000005</v>
      </c>
      <c r="AD69" s="60">
        <v>0.81499999999999995</v>
      </c>
      <c r="AE69" s="60">
        <v>0.81499999999999995</v>
      </c>
      <c r="AF69" s="60">
        <v>0.81499999999999995</v>
      </c>
      <c r="AG69" s="54">
        <f>+AG15/AG13</f>
        <v>0.81290427716107627</v>
      </c>
    </row>
    <row r="70" spans="1:33" s="42" customFormat="1" outlineLevel="1" x14ac:dyDescent="0.3">
      <c r="A70" s="145"/>
      <c r="B70" s="70" t="s">
        <v>92</v>
      </c>
      <c r="C70" s="71"/>
      <c r="D70" s="55">
        <f t="shared" ref="D70:R70" si="183">+D17/D13</f>
        <v>0.24953548866592346</v>
      </c>
      <c r="E70" s="55">
        <f t="shared" si="183"/>
        <v>0.22731510254816656</v>
      </c>
      <c r="F70" s="55">
        <f t="shared" si="183"/>
        <v>0.21951219512195122</v>
      </c>
      <c r="G70" s="55">
        <f t="shared" si="183"/>
        <v>0.17868089453967534</v>
      </c>
      <c r="H70" s="53">
        <f t="shared" si="183"/>
        <v>0.21416166148057023</v>
      </c>
      <c r="I70" s="55">
        <f t="shared" si="183"/>
        <v>0.22833665338645417</v>
      </c>
      <c r="J70" s="55">
        <f t="shared" si="183"/>
        <v>0.20587919751099668</v>
      </c>
      <c r="K70" s="55">
        <f t="shared" si="183"/>
        <v>0.19868319132455461</v>
      </c>
      <c r="L70" s="55">
        <f t="shared" si="183"/>
        <v>0.15024668516805428</v>
      </c>
      <c r="M70" s="53">
        <f t="shared" si="183"/>
        <v>0.19073623102846038</v>
      </c>
      <c r="N70" s="55">
        <f t="shared" si="183"/>
        <v>0.18702991810128697</v>
      </c>
      <c r="O70" s="55">
        <f t="shared" si="183"/>
        <v>0.19068853450230519</v>
      </c>
      <c r="P70" s="55">
        <f t="shared" si="183"/>
        <v>0.19356013695636337</v>
      </c>
      <c r="Q70" s="55">
        <f t="shared" si="183"/>
        <v>0.16879508099798984</v>
      </c>
      <c r="R70" s="54">
        <f t="shared" si="183"/>
        <v>0.18397865253053475</v>
      </c>
      <c r="S70" s="55">
        <f t="shared" ref="S70:T70" si="184">+S17/S13</f>
        <v>0.1896929097300524</v>
      </c>
      <c r="T70" s="55">
        <f t="shared" si="184"/>
        <v>0.19631647518654508</v>
      </c>
      <c r="U70" s="55">
        <f t="shared" ref="U70:V70" si="185">+U17/U13</f>
        <v>0.20099705415816904</v>
      </c>
      <c r="V70" s="55">
        <f t="shared" si="185"/>
        <v>0.1839009581633621</v>
      </c>
      <c r="W70" s="147"/>
      <c r="X70" s="55">
        <f t="shared" ref="X70" si="186">+X17/X13</f>
        <v>0.22636297006258105</v>
      </c>
      <c r="Y70" s="60">
        <v>0.24</v>
      </c>
      <c r="Z70" s="60">
        <v>0.23499999999999999</v>
      </c>
      <c r="AA70" s="60">
        <v>0.22</v>
      </c>
      <c r="AB70" s="54"/>
      <c r="AC70" s="60">
        <v>0.23499999999999999</v>
      </c>
      <c r="AD70" s="60">
        <v>0.22</v>
      </c>
      <c r="AE70" s="60">
        <f t="shared" ref="AE70:AF70" si="187">AD70</f>
        <v>0.22</v>
      </c>
      <c r="AF70" s="60">
        <f t="shared" si="187"/>
        <v>0.22</v>
      </c>
      <c r="AG70" s="54"/>
    </row>
    <row r="71" spans="1:33" s="42" customFormat="1" outlineLevel="1" x14ac:dyDescent="0.3">
      <c r="A71" s="145"/>
      <c r="B71" s="70" t="s">
        <v>93</v>
      </c>
      <c r="C71" s="71"/>
      <c r="D71" s="55">
        <f t="shared" ref="D71:R71" si="188">+D18/D13</f>
        <v>0.15347454477889261</v>
      </c>
      <c r="E71" s="55">
        <f t="shared" si="188"/>
        <v>0.1396830329397141</v>
      </c>
      <c r="F71" s="55">
        <f t="shared" si="188"/>
        <v>0.13193552988161461</v>
      </c>
      <c r="G71" s="55">
        <f t="shared" si="188"/>
        <v>0.12736973549778635</v>
      </c>
      <c r="H71" s="53">
        <f t="shared" si="188"/>
        <v>0.13647876112598595</v>
      </c>
      <c r="I71" s="55">
        <f t="shared" si="188"/>
        <v>0.13159860557768924</v>
      </c>
      <c r="J71" s="55">
        <f t="shared" si="188"/>
        <v>0.12058791975109967</v>
      </c>
      <c r="K71" s="55">
        <f t="shared" si="188"/>
        <v>0.11328427575522851</v>
      </c>
      <c r="L71" s="55">
        <f t="shared" si="188"/>
        <v>0.1059204440333025</v>
      </c>
      <c r="M71" s="53">
        <f t="shared" si="188"/>
        <v>0.1162275846800974</v>
      </c>
      <c r="N71" s="55">
        <f t="shared" si="188"/>
        <v>0.13329433394618084</v>
      </c>
      <c r="O71" s="55">
        <f t="shared" si="188"/>
        <v>0.14020104300506386</v>
      </c>
      <c r="P71" s="55">
        <f t="shared" si="188"/>
        <v>0.14045312158519704</v>
      </c>
      <c r="Q71" s="55">
        <f t="shared" si="188"/>
        <v>0.14585550431595129</v>
      </c>
      <c r="R71" s="54">
        <f t="shared" si="188"/>
        <v>0.14049571976073641</v>
      </c>
      <c r="S71" s="55">
        <f t="shared" ref="S71:T71" si="189">+S18/S13</f>
        <v>0.13397890827087616</v>
      </c>
      <c r="T71" s="55">
        <f t="shared" si="189"/>
        <v>0.14295866398199691</v>
      </c>
      <c r="U71" s="55">
        <f t="shared" ref="U71:V71" si="190">+U18/U13</f>
        <v>0.13686834353047814</v>
      </c>
      <c r="V71" s="55">
        <f t="shared" si="190"/>
        <v>0.14353476899724885</v>
      </c>
      <c r="W71" s="147"/>
      <c r="X71" s="55">
        <f t="shared" ref="X71" si="191">+X18/X13</f>
        <v>0.15712916502226984</v>
      </c>
      <c r="Y71" s="60">
        <v>0.16</v>
      </c>
      <c r="Z71" s="60">
        <v>0.16500000000000001</v>
      </c>
      <c r="AA71" s="60">
        <v>0.15</v>
      </c>
      <c r="AB71" s="165"/>
      <c r="AC71" s="60">
        <v>0.16400000000000001</v>
      </c>
      <c r="AD71" s="60">
        <v>0.16</v>
      </c>
      <c r="AE71" s="60">
        <f t="shared" ref="AE71" si="192">AD71</f>
        <v>0.16</v>
      </c>
      <c r="AF71" s="60">
        <v>0.16</v>
      </c>
      <c r="AG71" s="54"/>
    </row>
    <row r="72" spans="1:33" s="42" customFormat="1" outlineLevel="1" x14ac:dyDescent="0.3">
      <c r="A72" s="145"/>
      <c r="B72" s="70" t="s">
        <v>94</v>
      </c>
      <c r="C72" s="71"/>
      <c r="D72" s="55">
        <f t="shared" ref="D72:R72" si="193">+D19/D13</f>
        <v>6.8004459308807136E-2</v>
      </c>
      <c r="E72" s="55">
        <f t="shared" si="193"/>
        <v>6.401491609695463E-2</v>
      </c>
      <c r="F72" s="55">
        <f t="shared" si="193"/>
        <v>6.2473256311510482E-2</v>
      </c>
      <c r="G72" s="55">
        <f t="shared" si="193"/>
        <v>5.8462935634010671E-2</v>
      </c>
      <c r="H72" s="53">
        <f t="shared" si="193"/>
        <v>6.2631159997105432E-2</v>
      </c>
      <c r="I72" s="55">
        <f t="shared" si="193"/>
        <v>8.1548804780876491E-2</v>
      </c>
      <c r="J72" s="55">
        <f t="shared" si="193"/>
        <v>6.8662160712369913E-2</v>
      </c>
      <c r="K72" s="55">
        <f t="shared" si="193"/>
        <v>5.1897753679318356E-2</v>
      </c>
      <c r="L72" s="55">
        <f t="shared" si="193"/>
        <v>5.2883132901634287E-2</v>
      </c>
      <c r="M72" s="53">
        <f t="shared" si="193"/>
        <v>6.1914249870858237E-2</v>
      </c>
      <c r="N72" s="55">
        <f t="shared" si="193"/>
        <v>6.3262577302356682E-2</v>
      </c>
      <c r="O72" s="55">
        <f t="shared" si="193"/>
        <v>5.865013982314262E-2</v>
      </c>
      <c r="P72" s="55">
        <f t="shared" si="193"/>
        <v>6.8696729074087567E-2</v>
      </c>
      <c r="Q72" s="55">
        <f t="shared" si="193"/>
        <v>5.7703677426983561E-2</v>
      </c>
      <c r="R72" s="54">
        <f t="shared" si="193"/>
        <v>6.1821698484902751E-2</v>
      </c>
      <c r="S72" s="55">
        <f t="shared" ref="S72:T72" si="194">+S19/S13</f>
        <v>0.26954964515487168</v>
      </c>
      <c r="T72" s="55">
        <f t="shared" si="194"/>
        <v>0.19092739547554186</v>
      </c>
      <c r="U72" s="55">
        <f t="shared" ref="U72:V72" si="195">+U19/U13</f>
        <v>7.6365284387038296E-2</v>
      </c>
      <c r="V72" s="55">
        <f t="shared" si="195"/>
        <v>8.675647471776872E-2</v>
      </c>
      <c r="W72" s="147"/>
      <c r="X72" s="55">
        <f t="shared" ref="X72" si="196">+X19/X13</f>
        <v>8.9248463663528219E-2</v>
      </c>
      <c r="Y72" s="60">
        <v>0.11</v>
      </c>
      <c r="Z72" s="60">
        <v>8.8999999999999996E-2</v>
      </c>
      <c r="AA72" s="60">
        <v>7.9000000000000001E-2</v>
      </c>
      <c r="AB72" s="54"/>
      <c r="AC72" s="60">
        <v>0.09</v>
      </c>
      <c r="AD72" s="60">
        <v>0.08</v>
      </c>
      <c r="AE72" s="60">
        <f t="shared" ref="AE72" si="197">AD72</f>
        <v>0.08</v>
      </c>
      <c r="AF72" s="60">
        <v>7.3999999999999996E-2</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54998.456276207246</v>
      </c>
      <c r="AC73" s="51"/>
      <c r="AD73" s="51"/>
      <c r="AE73" s="51"/>
      <c r="AF73" s="51"/>
      <c r="AG73" s="30">
        <f>AG14+AG17+AG18+AG19</f>
        <v>68220.642822082256</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-0.71408878286756483</v>
      </c>
      <c r="Z74" s="55">
        <f>+(Z14+Z17+Z18+Z19)/(X14+X17+X18+X19)-1</f>
        <v>0.17743990367900042</v>
      </c>
      <c r="AA74" s="55">
        <f>+(AA14+AA17+AA18+AA19)/(Y14+Y17+Y18+Y19)-1</f>
        <v>0.1870777332204443</v>
      </c>
      <c r="AB74" s="53">
        <f>+(AB14+AB17+AB18+AB19)/(W14+W17+W18+W19)-1</f>
        <v>0.17741979996590196</v>
      </c>
      <c r="AC74" s="55">
        <f>+(AC14+AC17+AC18+AC19)/(AA14+AA17+AA18+AA19)-1</f>
        <v>-5.2848743285153876E-2</v>
      </c>
      <c r="AD74" s="55">
        <f>+(AD14+AD17+AD18+AD19)/(AB14+AB17+AB18+AB19)-1</f>
        <v>-0.72665583049427629</v>
      </c>
      <c r="AE74" s="55">
        <f>+(AE14+AE17+AE18+AE19)/(AC14+AC17+AC18+AC19)-1</f>
        <v>0.12335143408091986</v>
      </c>
      <c r="AF74" s="55">
        <f>+(AF14+AF17+AF18+AF19)/(AD14+AD17+AD18+AD19)-1</f>
        <v>0.41705367956781503</v>
      </c>
      <c r="AG74" s="53">
        <f>+(AG14+AG17+AG18+AG19)/(AB14+AB17+AB18+AB19)-1</f>
        <v>0.24041013950413426</v>
      </c>
    </row>
    <row r="75" spans="1:33" s="42" customFormat="1" outlineLevel="1" x14ac:dyDescent="0.3">
      <c r="A75" s="145"/>
      <c r="B75" s="190" t="s">
        <v>4</v>
      </c>
      <c r="C75" s="191"/>
      <c r="D75" s="51">
        <f t="shared" ref="D75:AG75" si="198">D21/D13</f>
        <v>0.37328130806391674</v>
      </c>
      <c r="E75" s="51">
        <f t="shared" si="198"/>
        <v>0.42666252330640148</v>
      </c>
      <c r="F75" s="51">
        <f t="shared" si="198"/>
        <v>0.445300242476109</v>
      </c>
      <c r="G75" s="51">
        <f t="shared" si="198"/>
        <v>0.51651719831990006</v>
      </c>
      <c r="H75" s="54">
        <f t="shared" si="198"/>
        <v>0.44963456111151312</v>
      </c>
      <c r="I75" s="51">
        <f t="shared" si="198"/>
        <v>0.41421812749003983</v>
      </c>
      <c r="J75" s="51">
        <f t="shared" si="198"/>
        <v>0.47215963952365625</v>
      </c>
      <c r="K75" s="51">
        <f t="shared" si="198"/>
        <v>0.49593338497288925</v>
      </c>
      <c r="L75" s="51">
        <f t="shared" si="198"/>
        <v>0.56675917360468697</v>
      </c>
      <c r="M75" s="54">
        <f t="shared" si="198"/>
        <v>0.49693749538779425</v>
      </c>
      <c r="N75" s="51">
        <f t="shared" si="198"/>
        <v>0.45537355841551064</v>
      </c>
      <c r="O75" s="51">
        <f t="shared" si="198"/>
        <v>0.44312599198851182</v>
      </c>
      <c r="P75" s="51">
        <f t="shared" si="198"/>
        <v>0.42114081736723247</v>
      </c>
      <c r="Q75" s="51">
        <f t="shared" si="198"/>
        <v>0.46233889085964291</v>
      </c>
      <c r="R75" s="54">
        <f t="shared" si="198"/>
        <v>0.44616569361366809</v>
      </c>
      <c r="S75" s="51">
        <f t="shared" si="198"/>
        <v>0.22000397957153281</v>
      </c>
      <c r="T75" s="51">
        <f t="shared" si="198"/>
        <v>0.27395475541869002</v>
      </c>
      <c r="U75" s="51">
        <f t="shared" si="198"/>
        <v>0.40703602991162474</v>
      </c>
      <c r="V75" s="51">
        <f t="shared" si="198"/>
        <v>0.42016886443411439</v>
      </c>
      <c r="W75" s="147">
        <f t="shared" si="198"/>
        <v>0.33927889443682191</v>
      </c>
      <c r="X75" s="51">
        <f t="shared" si="198"/>
        <v>0.33224333314540228</v>
      </c>
      <c r="Y75" s="51">
        <f t="shared" si="198"/>
        <v>0.27500000000000002</v>
      </c>
      <c r="Z75" s="51">
        <f t="shared" si="198"/>
        <v>0.30600000000000011</v>
      </c>
      <c r="AA75" s="51">
        <f t="shared" si="198"/>
        <v>0.36100000000000015</v>
      </c>
      <c r="AB75" s="54">
        <f t="shared" si="198"/>
        <v>0.32153101138919105</v>
      </c>
      <c r="AC75" s="51">
        <f t="shared" si="198"/>
        <v>0.31600000000000006</v>
      </c>
      <c r="AD75" s="51">
        <f t="shared" si="198"/>
        <v>0.35499999999999998</v>
      </c>
      <c r="AE75" s="51">
        <f t="shared" si="198"/>
        <v>0.35499999999999987</v>
      </c>
      <c r="AF75" s="51">
        <f t="shared" si="198"/>
        <v>0.36099999999999999</v>
      </c>
      <c r="AG75" s="54">
        <f t="shared" si="198"/>
        <v>0.34873626199037694</v>
      </c>
    </row>
    <row r="76" spans="1:33" s="42" customFormat="1" outlineLevel="1" x14ac:dyDescent="0.3">
      <c r="A76" s="145"/>
      <c r="B76" s="190" t="s">
        <v>2</v>
      </c>
      <c r="C76" s="191"/>
      <c r="D76" s="51">
        <f t="shared" ref="D76:X76" si="199">-D24/D23</f>
        <v>0.26876513317191281</v>
      </c>
      <c r="E76" s="51">
        <f t="shared" si="199"/>
        <v>0.25704989154013014</v>
      </c>
      <c r="F76" s="51">
        <f t="shared" si="199"/>
        <v>0.24928999684443043</v>
      </c>
      <c r="G76" s="51">
        <f t="shared" si="199"/>
        <v>5.422753430721558E-2</v>
      </c>
      <c r="H76" s="54">
        <f t="shared" si="199"/>
        <v>0.18381530595941845</v>
      </c>
      <c r="I76" s="51">
        <f t="shared" si="199"/>
        <v>0.10093896713615023</v>
      </c>
      <c r="J76" s="51">
        <f t="shared" si="199"/>
        <v>0.13235294117647059</v>
      </c>
      <c r="K76" s="51">
        <f t="shared" si="199"/>
        <v>0.10103132161955691</v>
      </c>
      <c r="L76" s="51">
        <f t="shared" si="199"/>
        <v>0.42803537925489143</v>
      </c>
      <c r="M76" s="54">
        <f t="shared" si="199"/>
        <v>0.22632805671554823</v>
      </c>
      <c r="N76" s="51">
        <f t="shared" si="199"/>
        <v>0.11087344028520499</v>
      </c>
      <c r="O76" s="51">
        <f t="shared" si="199"/>
        <v>0.12985685071574643</v>
      </c>
      <c r="P76" s="51">
        <f t="shared" si="199"/>
        <v>0.13108930987821379</v>
      </c>
      <c r="Q76" s="51">
        <f t="shared" si="199"/>
        <v>0.13662024840045164</v>
      </c>
      <c r="R76" s="54">
        <f t="shared" si="199"/>
        <v>0.12807065967430306</v>
      </c>
      <c r="S76" s="144">
        <f t="shared" si="199"/>
        <v>0.30241240666283747</v>
      </c>
      <c r="T76" s="51">
        <f t="shared" si="199"/>
        <v>0.45860927152317882</v>
      </c>
      <c r="U76" s="51">
        <f t="shared" si="199"/>
        <v>0.16891799699822621</v>
      </c>
      <c r="V76" s="51">
        <f t="shared" si="199"/>
        <v>0.19849492856363835</v>
      </c>
      <c r="W76" s="147">
        <f t="shared" si="199"/>
        <v>0.25499758181525067</v>
      </c>
      <c r="X76" s="144">
        <f t="shared" si="199"/>
        <v>0.16362395495649207</v>
      </c>
      <c r="Y76" s="59">
        <v>0.18</v>
      </c>
      <c r="Z76" s="59">
        <v>0.18</v>
      </c>
      <c r="AA76" s="59">
        <v>0.18</v>
      </c>
      <c r="AB76" s="166">
        <f>-AB24/AB23</f>
        <v>0.17637534732566509</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0.18075006542135263</v>
      </c>
    </row>
    <row r="77" spans="1:33" ht="17.399999999999999" x14ac:dyDescent="0.45">
      <c r="A77" s="138"/>
      <c r="B77" s="185" t="s">
        <v>18</v>
      </c>
      <c r="C77" s="186"/>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190" t="s">
        <v>12</v>
      </c>
      <c r="C78" s="191"/>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0">AVERAGE(T78,U78,V78,X78)</f>
        <v>1.7723909360243817E-3</v>
      </c>
      <c r="Z78" s="60">
        <f t="shared" ref="Z78:Z79" si="201">AVERAGE(U78,V78,X78,Y78)</f>
        <v>1.7638955327755751E-3</v>
      </c>
      <c r="AA78" s="60">
        <f t="shared" ref="AA78:AA79" si="202">AVERAGE(V78,X78,Y78,Z78)</f>
        <v>1.7617871042356799E-3</v>
      </c>
      <c r="AB78" s="23"/>
      <c r="AC78" s="60">
        <f t="shared" ref="AC78:AC79" si="203">AVERAGE(X78,Y78,Z78,AA78)</f>
        <v>1.6135863680311483E-3</v>
      </c>
      <c r="AD78" s="60">
        <f t="shared" ref="AD78:AD79" si="204">AVERAGE(Y78,Z78,AA78,AC78)</f>
        <v>1.7279149852666962E-3</v>
      </c>
      <c r="AE78" s="60">
        <f t="shared" ref="AE78:AE79" si="205">AVERAGE(Z78,AA78,AC78,AD78)</f>
        <v>1.7167959975772748E-3</v>
      </c>
      <c r="AF78" s="60">
        <f t="shared" ref="AF78:AF79" si="206">AVERAGE(AA78,AC78,AD78,AE78)</f>
        <v>1.7050211137776996E-3</v>
      </c>
      <c r="AG78" s="23"/>
    </row>
    <row r="79" spans="1:33" outlineLevel="1" x14ac:dyDescent="0.3">
      <c r="A79" s="138"/>
      <c r="B79" s="190" t="s">
        <v>13</v>
      </c>
      <c r="C79" s="191"/>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0"/>
        <v>2.1111956602481441E-3</v>
      </c>
      <c r="Z79" s="60">
        <f t="shared" si="201"/>
        <v>1.5794790646792983E-3</v>
      </c>
      <c r="AA79" s="60">
        <f t="shared" si="202"/>
        <v>1.534348830849127E-3</v>
      </c>
      <c r="AB79" s="23"/>
      <c r="AC79" s="60">
        <f t="shared" si="203"/>
        <v>8.114642222774816E-4</v>
      </c>
      <c r="AD79" s="60">
        <f t="shared" si="204"/>
        <v>1.5091219445135127E-3</v>
      </c>
      <c r="AE79" s="60">
        <f t="shared" si="205"/>
        <v>1.358603515579855E-3</v>
      </c>
      <c r="AF79" s="60">
        <f t="shared" si="206"/>
        <v>1.3033846283049941E-3</v>
      </c>
      <c r="AG79" s="23"/>
    </row>
    <row r="80" spans="1:33" outlineLevel="1" x14ac:dyDescent="0.3">
      <c r="A80" s="138"/>
      <c r="B80" s="190" t="s">
        <v>5</v>
      </c>
      <c r="C80" s="191"/>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230</v>
      </c>
      <c r="Z80" s="63">
        <f>Y80</f>
        <v>230</v>
      </c>
      <c r="AA80" s="63">
        <f>Z80</f>
        <v>230</v>
      </c>
      <c r="AB80" s="62"/>
      <c r="AC80" s="63">
        <f>AA80</f>
        <v>230</v>
      </c>
      <c r="AD80" s="63">
        <f>AC80</f>
        <v>230</v>
      </c>
      <c r="AE80" s="63">
        <f>AD80</f>
        <v>230</v>
      </c>
      <c r="AF80" s="63">
        <f>AE80</f>
        <v>230</v>
      </c>
      <c r="AG80" s="62"/>
    </row>
    <row r="81" spans="1:33" outlineLevel="1" x14ac:dyDescent="0.3">
      <c r="A81" s="138"/>
      <c r="B81" s="190" t="s">
        <v>6</v>
      </c>
      <c r="C81" s="191"/>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38"/>
      <c r="B82" s="196" t="s">
        <v>17</v>
      </c>
      <c r="C82" s="197"/>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5.3249019646739129</v>
      </c>
      <c r="AA82" s="66">
        <f>IF((AA81)&gt;0,(AA81/AA80),0)</f>
        <v>5.4054235427989132</v>
      </c>
      <c r="AB82" s="101">
        <f>+SUM(X82:AA82)</f>
        <v>22.268604453125</v>
      </c>
      <c r="AC82" s="66">
        <f>IF((AC81)&gt;0,(AC81/AC80),0)</f>
        <v>5.3416898632812497</v>
      </c>
      <c r="AD82" s="66">
        <f>IF((AD81)&gt;0,(AD81/AD80),0)</f>
        <v>5.3275735791015624</v>
      </c>
      <c r="AE82" s="66">
        <f>IF((AE81)&gt;0,(AE81/AE80),0)</f>
        <v>5.3498972374639102</v>
      </c>
      <c r="AF82" s="66">
        <f>IF((AF81)&gt;0,(AF81/AF80),0)</f>
        <v>5.3561460556614096</v>
      </c>
      <c r="AG82" s="101">
        <f>+SUM(AC82:AF82)</f>
        <v>21.375306735508129</v>
      </c>
    </row>
    <row r="83" spans="1:33" ht="17.399999999999999" x14ac:dyDescent="0.45">
      <c r="A83" s="138"/>
      <c r="B83" s="185" t="s">
        <v>24</v>
      </c>
      <c r="C83" s="186"/>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8"/>
      <c r="B84" s="190" t="s">
        <v>95</v>
      </c>
      <c r="C84" s="191"/>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07">SUM(S84:V84)</f>
        <v>1669</v>
      </c>
      <c r="X84" s="133">
        <v>275</v>
      </c>
      <c r="Y84" s="58">
        <f>X84</f>
        <v>275</v>
      </c>
      <c r="Z84" s="58">
        <v>150</v>
      </c>
      <c r="AA84" s="58">
        <v>100</v>
      </c>
      <c r="AB84" s="30">
        <f t="shared" ref="AB84" si="208">SUM(X84:AA84)</f>
        <v>800</v>
      </c>
      <c r="AC84" s="58">
        <v>50</v>
      </c>
      <c r="AD84" s="58">
        <f>AC84</f>
        <v>50</v>
      </c>
      <c r="AE84" s="58">
        <f>AD84</f>
        <v>50</v>
      </c>
      <c r="AF84" s="58">
        <f>AE84</f>
        <v>50</v>
      </c>
      <c r="AG84" s="30">
        <f t="shared" ref="AG84" si="209">SUM(AC84:AF84)</f>
        <v>200</v>
      </c>
    </row>
    <row r="85" spans="1:33" ht="17.399999999999999" x14ac:dyDescent="0.45">
      <c r="A85" s="138"/>
      <c r="B85" s="185" t="s">
        <v>96</v>
      </c>
      <c r="C85" s="186"/>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0">SUM(N87:Q87)</f>
        <v>3022</v>
      </c>
      <c r="S87" s="133">
        <v>723</v>
      </c>
      <c r="T87" s="133">
        <v>927</v>
      </c>
      <c r="U87" s="133">
        <v>907</v>
      </c>
      <c r="V87" s="133">
        <f>3488-U87-T87-S87</f>
        <v>931</v>
      </c>
      <c r="W87" s="30">
        <f t="shared" ref="W87:W89" si="211">SUM(S87:V87)</f>
        <v>3488</v>
      </c>
      <c r="X87" s="133">
        <v>999</v>
      </c>
      <c r="Y87" s="58">
        <f t="shared" ref="Y87:Y89" si="212">AVERAGE(T87,U87,V87,X87)</f>
        <v>941</v>
      </c>
      <c r="Z87" s="58">
        <f t="shared" ref="Z87:Z89" si="213">AVERAGE(U87,V87,X87,Y87)</f>
        <v>944.5</v>
      </c>
      <c r="AA87" s="58">
        <f t="shared" ref="AA87:AA89" si="214">AVERAGE(V87,X87,Y87,Z87)</f>
        <v>953.875</v>
      </c>
      <c r="AB87" s="30">
        <f t="shared" ref="AB87:AB89" si="215">SUM(X87:AA87)</f>
        <v>3838.375</v>
      </c>
      <c r="AC87" s="58">
        <f t="shared" ref="AC87:AC89" si="216">AVERAGE(X87,Y87,Z87,AA87)</f>
        <v>959.59375</v>
      </c>
      <c r="AD87" s="58">
        <f t="shared" ref="AD87:AD89" si="217">AVERAGE(Y87,Z87,AA87,AC87)</f>
        <v>949.7421875</v>
      </c>
      <c r="AE87" s="58">
        <f t="shared" ref="AE87:AE89" si="218">AVERAGE(Z87,AA87,AC87,AD87)</f>
        <v>951.927734375</v>
      </c>
      <c r="AF87" s="58">
        <f t="shared" ref="AF87:AF89" si="219">AVERAGE(AA87,AC87,AD87,AE87)</f>
        <v>953.78466796875</v>
      </c>
      <c r="AG87" s="30">
        <f t="shared" ref="AG87:AG89" si="220">SUM(AC87:AF87)</f>
        <v>3815.04833984375</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0"/>
        <v>511</v>
      </c>
      <c r="S88" s="133">
        <v>113</v>
      </c>
      <c r="T88" s="133">
        <v>160</v>
      </c>
      <c r="U88" s="133">
        <v>148</v>
      </c>
      <c r="V88" s="133">
        <f>569-U88-T88-S88</f>
        <v>148</v>
      </c>
      <c r="W88" s="30">
        <f t="shared" si="211"/>
        <v>569</v>
      </c>
      <c r="X88" s="133">
        <v>149</v>
      </c>
      <c r="Y88" s="58">
        <f t="shared" si="212"/>
        <v>151.25</v>
      </c>
      <c r="Z88" s="58">
        <f t="shared" si="213"/>
        <v>149.0625</v>
      </c>
      <c r="AA88" s="58">
        <f t="shared" si="214"/>
        <v>149.328125</v>
      </c>
      <c r="AB88" s="30">
        <f t="shared" si="215"/>
        <v>598.640625</v>
      </c>
      <c r="AC88" s="58">
        <f t="shared" si="216"/>
        <v>149.66015625</v>
      </c>
      <c r="AD88" s="58">
        <f t="shared" si="217"/>
        <v>149.8251953125</v>
      </c>
      <c r="AE88" s="58">
        <f t="shared" si="218"/>
        <v>149.468994140625</v>
      </c>
      <c r="AF88" s="58">
        <f t="shared" si="219"/>
        <v>149.57061767578125</v>
      </c>
      <c r="AG88" s="30">
        <f t="shared" si="220"/>
        <v>598.52496337890625</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0"/>
        <v>335</v>
      </c>
      <c r="S89" s="149">
        <v>87</v>
      </c>
      <c r="T89" s="157">
        <v>107</v>
      </c>
      <c r="U89" s="157">
        <v>103</v>
      </c>
      <c r="V89" s="162">
        <f>402-U89-T89-S89</f>
        <v>105</v>
      </c>
      <c r="W89" s="68">
        <f t="shared" si="211"/>
        <v>402</v>
      </c>
      <c r="X89" s="149">
        <v>93</v>
      </c>
      <c r="Y89" s="77">
        <f t="shared" si="212"/>
        <v>102</v>
      </c>
      <c r="Z89" s="77">
        <f t="shared" si="213"/>
        <v>100.75</v>
      </c>
      <c r="AA89" s="106">
        <f t="shared" si="214"/>
        <v>100.1875</v>
      </c>
      <c r="AB89" s="68">
        <f t="shared" si="215"/>
        <v>395.9375</v>
      </c>
      <c r="AC89" s="105">
        <f t="shared" si="216"/>
        <v>98.984375</v>
      </c>
      <c r="AD89" s="77">
        <f t="shared" si="217"/>
        <v>100.48046875</v>
      </c>
      <c r="AE89" s="77">
        <f t="shared" si="218"/>
        <v>100.1005859375</v>
      </c>
      <c r="AF89" s="106">
        <f t="shared" si="219"/>
        <v>99.938232421875</v>
      </c>
      <c r="AG89" s="68">
        <f t="shared" si="220"/>
        <v>399.503662109375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10"/>
      <c r="I7" s="210"/>
      <c r="J7" s="210"/>
      <c r="K7" s="210"/>
      <c r="L7" s="210"/>
      <c r="M7" s="210"/>
      <c r="N7" s="210"/>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2020-07-25T16:47:03Z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