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
    </mc:Choice>
  </mc:AlternateContent>
  <xr:revisionPtr revIDLastSave="0" documentId="13_ncr:1_{D09B5C77-C742-4A76-8EC4-A1FADFE7451E}" xr6:coauthVersionLast="45" xr6:coauthVersionMax="45" xr10:uidLastSave="{00000000-0000-0000-0000-000000000000}"/>
  <bookViews>
    <workbookView xWindow="-108" yWindow="-108" windowWidth="23256" windowHeight="13176" tabRatio="530" firstSheet="1" activeTab="1" xr2:uid="{00000000-000D-0000-FFFF-FFFF00000000}"/>
  </bookViews>
  <sheets>
    <sheet name="Instructions" sheetId="39" state="hidden"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9" i="3" l="1"/>
  <c r="Y25" i="3"/>
  <c r="Y31" i="3"/>
  <c r="Y13" i="3"/>
  <c r="Y1" i="3"/>
  <c r="Y5" i="3"/>
  <c r="AC5" i="3"/>
  <c r="AC2" i="3"/>
  <c r="AC1" i="3"/>
  <c r="AA2" i="3"/>
  <c r="AA1" i="3"/>
  <c r="Z1" i="3"/>
  <c r="AC10" i="3"/>
  <c r="AA5" i="3"/>
  <c r="Z2" i="3"/>
  <c r="Y2" i="3"/>
  <c r="AA13" i="3"/>
  <c r="Z10" i="3"/>
  <c r="AA10" i="3"/>
  <c r="Y10" i="3"/>
  <c r="Z5" i="3"/>
  <c r="Y81" i="3"/>
  <c r="Z81" i="3"/>
  <c r="Y82" i="3"/>
  <c r="Z17" i="3"/>
  <c r="AB17" i="3"/>
  <c r="Z18" i="3"/>
  <c r="AB18" i="3"/>
  <c r="AB73" i="3"/>
  <c r="X70" i="3"/>
  <c r="AF36" i="3"/>
  <c r="AF40" i="3"/>
  <c r="AF13" i="3"/>
  <c r="AF84" i="3"/>
  <c r="AE84" i="3"/>
  <c r="AD84" i="3"/>
  <c r="AC84" i="3"/>
  <c r="AA84" i="3"/>
  <c r="Z84" i="3"/>
  <c r="Y84" i="3"/>
  <c r="AC22" i="3"/>
  <c r="Y22" i="3"/>
  <c r="Z22" i="3"/>
  <c r="AA22" i="3"/>
  <c r="AA81" i="3"/>
  <c r="AC81" i="3"/>
  <c r="AD81" i="3"/>
  <c r="AE81" i="3"/>
  <c r="AF81" i="3"/>
  <c r="AG81" i="3"/>
  <c r="Y86" i="3"/>
  <c r="Y78" i="3"/>
  <c r="AC79" i="3"/>
  <c r="Y79" i="3"/>
  <c r="Y42" i="3"/>
  <c r="Y36" i="3"/>
  <c r="Y44" i="3"/>
  <c r="Y37" i="3"/>
  <c r="Y46" i="3"/>
  <c r="Y38" i="3"/>
  <c r="Y48" i="3"/>
  <c r="Y39" i="3"/>
  <c r="Y40" i="3"/>
  <c r="Y14" i="3"/>
  <c r="Y15" i="3"/>
  <c r="Y17" i="3"/>
  <c r="Y18" i="3"/>
  <c r="Y19" i="3"/>
  <c r="Y20" i="3"/>
  <c r="Y21" i="3"/>
  <c r="Y23" i="3"/>
  <c r="Y24" i="3"/>
  <c r="Z42" i="3"/>
  <c r="Z36" i="3"/>
  <c r="Z44" i="3"/>
  <c r="Z37" i="3"/>
  <c r="Z46" i="3"/>
  <c r="Z38" i="3"/>
  <c r="Z48" i="3"/>
  <c r="Z39" i="3"/>
  <c r="Z40" i="3"/>
  <c r="Z13" i="3"/>
  <c r="Z14" i="3"/>
  <c r="Z15" i="3"/>
  <c r="Z19" i="3"/>
  <c r="Z20" i="3"/>
  <c r="Z21" i="3"/>
  <c r="Z23" i="3"/>
  <c r="Z24" i="3"/>
  <c r="AA38" i="3"/>
  <c r="AA39" i="3"/>
  <c r="AA37" i="3"/>
  <c r="AA36" i="3"/>
  <c r="AA40" i="3"/>
  <c r="AA14" i="3"/>
  <c r="AA15" i="3"/>
  <c r="AA17" i="3"/>
  <c r="AA18" i="3"/>
  <c r="AA19" i="3"/>
  <c r="AA20" i="3"/>
  <c r="AA21" i="3"/>
  <c r="AA23" i="3"/>
  <c r="AA24" i="3"/>
  <c r="AB24" i="3"/>
  <c r="AB22" i="3"/>
  <c r="AB13" i="3"/>
  <c r="AB14" i="3"/>
  <c r="AB15" i="3"/>
  <c r="AB19" i="3"/>
  <c r="AB20" i="3"/>
  <c r="AB21" i="3"/>
  <c r="AB23" i="3"/>
  <c r="AB76" i="3"/>
  <c r="Z79" i="3"/>
  <c r="AA79" i="3"/>
  <c r="AD79" i="3"/>
  <c r="W69" i="3"/>
  <c r="AE56" i="3"/>
  <c r="AE54" i="3"/>
  <c r="AD54" i="3"/>
  <c r="AF49" i="3"/>
  <c r="AE49" i="3"/>
  <c r="AF47" i="3"/>
  <c r="AE47" i="3"/>
  <c r="AF45" i="3"/>
  <c r="AE45" i="3"/>
  <c r="AF43" i="3"/>
  <c r="AE43" i="3"/>
  <c r="AF57" i="3"/>
  <c r="AE57" i="3"/>
  <c r="AE53" i="3"/>
  <c r="AF53" i="3"/>
  <c r="AF55" i="3"/>
  <c r="AF59" i="3"/>
  <c r="AE59" i="3"/>
  <c r="AE55" i="3"/>
  <c r="AA54" i="3"/>
  <c r="X53" i="3"/>
  <c r="Y52" i="3"/>
  <c r="AA48" i="3"/>
  <c r="AF48" i="3"/>
  <c r="Y58" i="3"/>
  <c r="Y54" i="3"/>
  <c r="Y56" i="3"/>
  <c r="Z58" i="3"/>
  <c r="Z52" i="3"/>
  <c r="Z54" i="3"/>
  <c r="Z56" i="3"/>
  <c r="AA58" i="3"/>
  <c r="AA52" i="3"/>
  <c r="AA42" i="3"/>
  <c r="AA44" i="3"/>
  <c r="AA46" i="3"/>
  <c r="AA56" i="3"/>
  <c r="AB69" i="3"/>
  <c r="Y89" i="3"/>
  <c r="AD22" i="3"/>
  <c r="AE22" i="3"/>
  <c r="AF22" i="3"/>
  <c r="AG22" i="3"/>
  <c r="AC48" i="3"/>
  <c r="AC58" i="3"/>
  <c r="AC39" i="3"/>
  <c r="AC52" i="3"/>
  <c r="AC42" i="3"/>
  <c r="AC36" i="3"/>
  <c r="AC44" i="3"/>
  <c r="AC54" i="3"/>
  <c r="AC37" i="3"/>
  <c r="AC46" i="3"/>
  <c r="AC56" i="3"/>
  <c r="AC38" i="3"/>
  <c r="AC40" i="3"/>
  <c r="AC13" i="3"/>
  <c r="AD48" i="3"/>
  <c r="AD58" i="3"/>
  <c r="AD39" i="3"/>
  <c r="AD52" i="3"/>
  <c r="AD42" i="3"/>
  <c r="AD36" i="3"/>
  <c r="AD44" i="3"/>
  <c r="AD37" i="3"/>
  <c r="AD46" i="3"/>
  <c r="AD56" i="3"/>
  <c r="AD38" i="3"/>
  <c r="AD40" i="3"/>
  <c r="AD13" i="3"/>
  <c r="AE48" i="3"/>
  <c r="AE58" i="3"/>
  <c r="AE39" i="3"/>
  <c r="AE52" i="3"/>
  <c r="AE42" i="3"/>
  <c r="AE36" i="3"/>
  <c r="AE44" i="3"/>
  <c r="AE37" i="3"/>
  <c r="AE46" i="3"/>
  <c r="AE38" i="3"/>
  <c r="AE40" i="3"/>
  <c r="AE13" i="3"/>
  <c r="AF58" i="3"/>
  <c r="AF39" i="3"/>
  <c r="AF52" i="3"/>
  <c r="AF42" i="3"/>
  <c r="AF44" i="3"/>
  <c r="AF54" i="3"/>
  <c r="AF37" i="3"/>
  <c r="AF46" i="3"/>
  <c r="AF56" i="3"/>
  <c r="AF38" i="3"/>
  <c r="AG13" i="3"/>
  <c r="AC14" i="3"/>
  <c r="AD14" i="3"/>
  <c r="AE14" i="3"/>
  <c r="AF14" i="3"/>
  <c r="AG14" i="3"/>
  <c r="AG15" i="3"/>
  <c r="AC17" i="3"/>
  <c r="AD17" i="3"/>
  <c r="AE17" i="3"/>
  <c r="AF17" i="3"/>
  <c r="AG17" i="3"/>
  <c r="AC18" i="3"/>
  <c r="AD18" i="3"/>
  <c r="AE18" i="3"/>
  <c r="AF18" i="3"/>
  <c r="AG18" i="3"/>
  <c r="AC19" i="3"/>
  <c r="AD19" i="3"/>
  <c r="AE19" i="3"/>
  <c r="AF19" i="3"/>
  <c r="AG19" i="3"/>
  <c r="AG20" i="3"/>
  <c r="AG21" i="3"/>
  <c r="AG23" i="3"/>
  <c r="AC15" i="3"/>
  <c r="AC20" i="3"/>
  <c r="AC21" i="3"/>
  <c r="AC23" i="3"/>
  <c r="AC24" i="3"/>
  <c r="AD15" i="3"/>
  <c r="AD20" i="3"/>
  <c r="AD21" i="3"/>
  <c r="AD23" i="3"/>
  <c r="AD24" i="3"/>
  <c r="AE15" i="3"/>
  <c r="AE20" i="3"/>
  <c r="AE21" i="3"/>
  <c r="AE23" i="3"/>
  <c r="AE24" i="3"/>
  <c r="AF15" i="3"/>
  <c r="AF20" i="3"/>
  <c r="AF21" i="3"/>
  <c r="AF23" i="3"/>
  <c r="AF24" i="3"/>
  <c r="AG24" i="3"/>
  <c r="AG25" i="3"/>
  <c r="AC25" i="3"/>
  <c r="AD25" i="3"/>
  <c r="AE25" i="3"/>
  <c r="AF25" i="3"/>
  <c r="Z82" i="3"/>
  <c r="Z29" i="3"/>
  <c r="AA82" i="3"/>
  <c r="AA29" i="3"/>
  <c r="AC82" i="3"/>
  <c r="AC29" i="3"/>
  <c r="AD82" i="3"/>
  <c r="AD29" i="3"/>
  <c r="AE79" i="3"/>
  <c r="AE82" i="3"/>
  <c r="AE29" i="3"/>
  <c r="AF79" i="3"/>
  <c r="AF82" i="3"/>
  <c r="AF29" i="3"/>
  <c r="AG29" i="3"/>
  <c r="AG31" i="3"/>
  <c r="Y87" i="3"/>
  <c r="Y64" i="3"/>
  <c r="W84" i="3"/>
  <c r="X40" i="3"/>
  <c r="V47" i="3"/>
  <c r="X45"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T43" i="3"/>
  <c r="U43" i="3"/>
  <c r="V43" i="3"/>
  <c r="X43" i="3"/>
  <c r="T53" i="3"/>
  <c r="U53" i="3"/>
  <c r="V53" i="3"/>
  <c r="T45" i="3"/>
  <c r="U45" i="3"/>
  <c r="V45" i="3"/>
  <c r="T55" i="3"/>
  <c r="U55" i="3"/>
  <c r="V55" i="3"/>
  <c r="X55" i="3"/>
  <c r="T47" i="3"/>
  <c r="U47" i="3"/>
  <c r="X47" i="3"/>
  <c r="T57" i="3"/>
  <c r="U57" i="3"/>
  <c r="V57" i="3"/>
  <c r="X57" i="3"/>
  <c r="T49" i="3"/>
  <c r="U49" i="3"/>
  <c r="V49" i="3"/>
  <c r="X49" i="3"/>
  <c r="T59" i="3"/>
  <c r="U59" i="3"/>
  <c r="V59" i="3"/>
  <c r="X59" i="3"/>
  <c r="Z25" i="3"/>
  <c r="AA25" i="3"/>
  <c r="X76" i="3"/>
  <c r="AC76" i="3"/>
  <c r="AD76" i="3"/>
  <c r="AE76" i="3"/>
  <c r="AF76"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25" i="3"/>
  <c r="W29" i="3"/>
  <c r="T80" i="3"/>
  <c r="T82" i="3"/>
  <c r="T79" i="3"/>
  <c r="U80" i="3"/>
  <c r="U82" i="3"/>
  <c r="U79" i="3"/>
  <c r="V80" i="3"/>
  <c r="V82" i="3"/>
  <c r="V79" i="3"/>
  <c r="X80" i="3"/>
  <c r="X82" i="3"/>
  <c r="X79" i="3"/>
  <c r="AB29" i="3"/>
  <c r="U31" i="3"/>
  <c r="V31" i="3"/>
  <c r="X31" i="3"/>
  <c r="X69" i="3"/>
  <c r="X71" i="3"/>
  <c r="X72" i="3"/>
  <c r="AG73" i="3"/>
  <c r="W73" i="3"/>
  <c r="R73" i="3"/>
  <c r="M73" i="3"/>
  <c r="H73" i="3"/>
  <c r="T76" i="3"/>
  <c r="U76" i="3"/>
  <c r="V76" i="3"/>
  <c r="X78" i="3"/>
  <c r="V78" i="3"/>
  <c r="V69" i="3"/>
  <c r="V70" i="3"/>
  <c r="V71" i="3"/>
  <c r="V72" i="3"/>
  <c r="V89" i="3"/>
  <c r="V88" i="3"/>
  <c r="V87" i="3"/>
  <c r="V86" i="3"/>
  <c r="Z89" i="3"/>
  <c r="AA89" i="3"/>
  <c r="AC89" i="3"/>
  <c r="AD89" i="3"/>
  <c r="AE89" i="3"/>
  <c r="AF89" i="3"/>
  <c r="Y88" i="3"/>
  <c r="Z88" i="3"/>
  <c r="AA88" i="3"/>
  <c r="AC88" i="3"/>
  <c r="AD88" i="3"/>
  <c r="AE88" i="3"/>
  <c r="AF88" i="3"/>
  <c r="Z87" i="3"/>
  <c r="AA87" i="3"/>
  <c r="AC87" i="3"/>
  <c r="AD87" i="3"/>
  <c r="AE87" i="3"/>
  <c r="AF87"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T68" i="3"/>
  <c r="AG82" i="3"/>
  <c r="X62" i="3"/>
  <c r="H30" i="3"/>
  <c r="H27" i="3"/>
  <c r="H31" i="3"/>
  <c r="AA62" i="3"/>
  <c r="AA60" i="3"/>
  <c r="W74" i="3"/>
  <c r="AD50" i="3"/>
  <c r="AC50" i="3"/>
  <c r="Z60" i="3"/>
  <c r="Y65" i="3"/>
  <c r="X74" i="3"/>
  <c r="X75" i="3"/>
  <c r="S30" i="3"/>
  <c r="S27" i="3"/>
  <c r="AC62" i="3"/>
  <c r="AC60" i="3"/>
  <c r="Z65" i="3"/>
  <c r="Z64" i="3"/>
  <c r="AE50"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D75" i="3"/>
  <c r="AA27" i="3"/>
  <c r="AE75" i="3"/>
  <c r="AB75" i="3"/>
  <c r="AF65" i="3"/>
  <c r="AF64" i="3"/>
  <c r="Y27" i="3"/>
  <c r="AC27" i="3"/>
  <c r="AG64" i="3"/>
  <c r="AF74" i="3"/>
  <c r="AB27" i="3"/>
  <c r="AG69" i="3"/>
  <c r="AE27" i="3"/>
  <c r="AF75" i="3"/>
  <c r="AG74" i="3"/>
  <c r="AG75" i="3"/>
  <c r="AG76" i="3"/>
  <c r="AD27" i="3"/>
  <c r="AG27" i="3"/>
  <c r="AF27" i="3"/>
  <c r="V30" i="3"/>
  <c r="U30" i="3"/>
  <c r="Z31"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Owen Carney</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indexed="81"/>
            <rFont val="Tahoma"/>
            <family val="2"/>
          </rPr>
          <t xml:space="preserve">Primary Input: </t>
        </r>
        <r>
          <rPr>
            <sz val="9"/>
            <color indexed="81"/>
            <rFont val="Tahoma"/>
            <family val="2"/>
          </rPr>
          <t>If you believe that new users will join the Facebook platforms, increase these growth rates for the various regions. Otherwise, decrease them.
Slight increase in the second quarter, wolrdwide, due to heavy restrictions in the first 2/3 of it. Slight decrease due to easing of restrictions and holiday season. Then, another increase in the fourth quarter due to a seasonal spike and a secondary outbreak, which continues into 2021, further affected by winter season. Growth slows due to difficult predictability and settles at its "long-term" rate from the second half of 2019 (i.e. average), assuming that a vaccine becomes available. Note: FB sees high growth in emerging markets (i.e. Asia/ROW) and continues this trend in the long-term.</t>
        </r>
      </text>
    </comment>
    <comment ref="Y53" authorId="0" shapeId="0" xr:uid="{EB180744-0605-4677-8197-E126E6D6DF86}">
      <text>
        <r>
          <rPr>
            <b/>
            <sz val="9"/>
            <color indexed="81"/>
            <rFont val="Tahoma"/>
            <family val="2"/>
          </rPr>
          <t xml:space="preserve">Primary Input: </t>
        </r>
        <r>
          <rPr>
            <sz val="9"/>
            <color indexed="81"/>
            <rFont val="Tahoma"/>
            <family val="2"/>
          </rPr>
          <t xml:space="preserve">If you believe there will be an increase in user engagement, number of ads, quality, relevance, and performance of ads, then increase the future ARPU estimates for the various regions. If not, then decrease the ARPU.
Considering GDP contraction, which is correlated with the advertising industry's output and acknowledged by Facebook in its investor meetings, as well as contuined efforts to decrease spending because of the current social environment and cost savings for firms, there will likely be a slight decrease or stagnation in ARPU in the second quarter, with a higher drop in the third quarter. There will also be a net decrease (at a slower rate) in ARPU in the fourth quarter since advertisers may demand slightly more due to the holiday season and when, into 2021, ARPU begins to increase and settle at standard levels (i.e. average of last two quarters) following the introduction of a vaccine.
Management Guidance: </t>
        </r>
        <r>
          <rPr>
            <i/>
            <sz val="9"/>
            <color indexed="81"/>
            <rFont val="Tahoma"/>
            <family val="2"/>
          </rPr>
          <t>"At the same time, we experienced a significant reduction in the demand for advertising, as well as a related decline in the pricing of our ads, over the last three weeks of the first quarter of 2020. After the initial steep decrease in our advertising revenue growth rates in March compared to earlier in the first quarter of 2020, we have seen signs of stability reflected in the first three weeks of April, where advertising revenue has been approximately flat compared to the same period a year ago, down from the 17% year-over-year growth in the first quarter of 2020... In addition, the demand for and pricing of our advertising services, as well as our overall results of operations, may be materially and adversely impacted by the pandemic for the duration of 2020 or longer, and we are unable to predict the duration or degree of such impact with any certainty." -- 1Q2020 10-Q</t>
        </r>
        <r>
          <rPr>
            <sz val="9"/>
            <color indexed="81"/>
            <rFont val="Tahoma"/>
            <family val="2"/>
          </rPr>
          <t xml:space="preserve">
Note: FB charges users in NA more (11x) because of the market's maturity, so the ARPU there is higher irrespective of the auction-style pricing system. Also, ARPU is inversely correlated with MAU.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indexed="81"/>
            <rFont val="Tahoma"/>
            <family val="2"/>
          </rPr>
          <t xml:space="preserve">Primary Input: </t>
        </r>
        <r>
          <rPr>
            <sz val="9"/>
            <color indexed="81"/>
            <rFont val="Tahoma"/>
            <family val="2"/>
          </rPr>
          <t>If you believe the cost to operate data centers, SBC, energy, bandwith costs, and TAC will increase, then decrease the gross margin estimate. If not, then increase the estimate. 
Management Guidance: "</t>
        </r>
        <r>
          <rPr>
            <i/>
            <sz val="9"/>
            <color indexed="81"/>
            <rFont val="Tahoma"/>
            <family val="2"/>
          </rPr>
          <t>We also intend to continue to invest in our business based on our company priorities, and we anticipate that additional investments in our data center capacity, network infrastructure, and office facilities, as well as scaling our headcount to support our growth and certain initiatives related to the COVID-19 pandemic, will continue to drive expense growth in 2020.</t>
        </r>
        <r>
          <rPr>
            <sz val="9"/>
            <color indexed="81"/>
            <rFont val="Tahoma"/>
            <family val="2"/>
          </rPr>
          <t xml:space="preserve">" -- 1Q2020 10-Q
</t>
        </r>
        <r>
          <rPr>
            <i/>
            <sz val="9"/>
            <color indexed="81"/>
            <rFont val="Tahoma"/>
            <family val="2"/>
          </rPr>
          <t xml:space="preserve">
"We also intend to continue to invest in our business based on our company priorities, and we anticipate that additional investments in our data center capacity, network infrastructure, and office facilities, as well as scaling our headcount to support our growth and certain initiatives related to the COVID-19 pandemic, will continue to drive expense growth in 2020...
And therefore, if you're going to have this kind of a business, I think you really want to maintain high margins so that way when we go through periods like this, you can make sure that we remain stable and healthy and able to keep on building the things that are important for the long term.  
 So what I guess I'd want to just be clear on is that we are willing to accept a reduction in margins in the near term, but we understand, and I personally have an appreciation for the importance of maintaining high margins over time. 
So it's not that we're going to kind of take things down this year and then continue taking things down a lot in the future. I think over the coming years, if we invest a lot more now, I think we are going to look for ways to manage expenses to make sure that we can maintain high margins over time." -- 1Q2020 conference call and follow-up</t>
        </r>
        <r>
          <rPr>
            <sz val="9"/>
            <color indexed="81"/>
            <rFont val="Tahoma"/>
            <family val="2"/>
          </rPr>
          <t xml:space="preserve">
</t>
        </r>
      </text>
    </comment>
    <comment ref="Y70" authorId="1" shapeId="0" xr:uid="{7C0E621D-BB43-4D96-BBEA-7FCCB2FF06E4}">
      <text>
        <r>
          <rPr>
            <b/>
            <sz val="9"/>
            <color indexed="81"/>
            <rFont val="Tahoma"/>
            <family val="2"/>
          </rPr>
          <t>Owen Carney:</t>
        </r>
        <r>
          <rPr>
            <sz val="9"/>
            <color indexed="81"/>
            <rFont val="Tahoma"/>
            <family val="2"/>
          </rPr>
          <t xml:space="preserve">
Research and development expenses in the three months ended March 31, 2020 increased $1.15 billion, or 40%, compared to the same period in 2019. The increase was primarily due to increases in payroll and benefits expenses and facilities-related costs as a result of a 35% growth in employee headcount from March 31, 2019 to March 31, 2020 in our engineering and other technical functions</t>
        </r>
      </text>
    </comment>
    <comment ref="Y71" authorId="1" shapeId="0" xr:uid="{62E04A9B-53EA-4EEF-A170-9E078DCEEB48}">
      <text>
        <r>
          <rPr>
            <b/>
            <sz val="9"/>
            <color indexed="81"/>
            <rFont val="Tahoma"/>
            <family val="2"/>
          </rPr>
          <t>Owen Carney:</t>
        </r>
        <r>
          <rPr>
            <sz val="9"/>
            <color indexed="81"/>
            <rFont val="Tahoma"/>
            <family val="2"/>
          </rPr>
          <t xml:space="preserve">
Marketing and sales expenses in the three months ended March 31, 2020 increased $767 million, or 38%, compared to the same period in 2019. The increase was primarily driven by increases in marketing expenses and payroll and benefits expenses. Our payroll and benefits expenses increased as a result of a 20% increase in employee headcount from March 31, 2019 to March 31, 2020 in our marketing and sales functions. </t>
        </r>
      </text>
    </comment>
    <comment ref="Y72" authorId="1" shapeId="0" xr:uid="{BAC980F9-06E6-4641-A1D1-EAC4BED13377}">
      <text>
        <r>
          <rPr>
            <b/>
            <sz val="9"/>
            <color indexed="81"/>
            <rFont val="Tahoma"/>
            <family val="2"/>
          </rPr>
          <t>Owen Carney:</t>
        </r>
        <r>
          <rPr>
            <sz val="9"/>
            <color indexed="81"/>
            <rFont val="Tahoma"/>
            <family val="2"/>
          </rPr>
          <t xml:space="preserve">
Bad debt expense is included in G&amp;A which is why as a ratio it was higher in 1Q2020. You may want to forecast the G&amp;A ratio higher again in 2Q2020 and describe it as continued bad debt expense as a result of COVID. Or maybe you think the worst of COVID is behind us so you could bring the ratio back down to what was seen in recent history (excluding 1Q2020).
</t>
        </r>
      </text>
    </comment>
    <comment ref="AB73" authorId="0" shapeId="0" xr:uid="{08A898E8-7F7A-414E-815F-EC25D459F691}">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
        </r>
        <r>
          <rPr>
            <b/>
            <sz val="9"/>
            <color indexed="81"/>
            <rFont val="Tahoma"/>
            <family val="2"/>
          </rPr>
          <t>Source:</t>
        </r>
        <r>
          <rPr>
            <sz val="9"/>
            <color indexed="81"/>
            <rFont val="Tahoma"/>
            <family val="2"/>
          </rPr>
          <t xml:space="preserve"> 1Q2020 earnings conference call</t>
        </r>
      </text>
    </comment>
    <comment ref="Y81" authorId="1" shapeId="0" xr:uid="{64531314-39F5-480E-90C9-60EE7241B8E0}">
      <text>
        <r>
          <rPr>
            <b/>
            <sz val="9"/>
            <color indexed="81"/>
            <rFont val="Tahoma"/>
            <family val="2"/>
          </rPr>
          <t>Owen Carney:</t>
        </r>
        <r>
          <rPr>
            <sz val="9"/>
            <color indexed="81"/>
            <rFont val="Tahoma"/>
            <family val="2"/>
          </rPr>
          <t xml:space="preserve">
It is tough to say how much they will repurchase. I simply used the average repurchase amount from the last four quarters; However there are a few theories you could make here. For example, you may believe that management would be conservative with their cash due to COVID-19 uncertainty, in which case they would probably reduce the repurchase amount, and hold the cash on their Balance Sheet. On the other hand, you may think the low stock price was a good opportunity to buy, in which case management may have increased their share repurchase amount to take advantage of the low low price. Either forecast seems reasonable to me. That's sort of the point of the exercise I guess...to come up with a reasonable basis for your forecast whichever direction that goes (I know much easier said than done).</t>
        </r>
      </text>
    </comment>
  </commentList>
</comments>
</file>

<file path=xl/sharedStrings.xml><?xml version="1.0" encoding="utf-8"?>
<sst xmlns="http://schemas.openxmlformats.org/spreadsheetml/2006/main" count="445" uniqueCount="163">
  <si>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</si>
  <si>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</si>
  <si>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</si>
  <si>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</si>
  <si>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</si>
  <si>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</si>
  <si>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</si>
  <si>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</si>
  <si>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</si>
  <si>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</si>
  <si>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</si>
  <si>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</si>
  <si>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</si>
  <si>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</si>
  <si>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</si>
  <si>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</si>
  <si>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</si>
  <si>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</si>
  <si>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</si>
  <si>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</si>
  <si>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</si>
  <si>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</si>
  <si>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</si>
  <si>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</si>
  <si>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</si>
  <si>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</si>
  <si>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</si>
  <si>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</si>
  <si>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</si>
  <si>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</si>
  <si>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</si>
  <si>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</si>
  <si>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</si>
  <si>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</si>
  <si>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</si>
  <si>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</si>
  <si>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</si>
  <si>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</si>
  <si>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</si>
  <si>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</si>
  <si>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</si>
  <si>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</si>
  <si>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</si>
  <si>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</si>
  <si>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</si>
  <si>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</si>
  <si>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</si>
  <si>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</si>
  <si>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</si>
  <si>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</si>
  <si>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</si>
  <si>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</si>
  <si>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</si>
  <si>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</si>
  <si>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</si>
  <si>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</si>
  <si>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</si>
  <si>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</si>
  <si>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</si>
  <si>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</si>
  <si>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</si>
  <si>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</si>
  <si>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</si>
  <si>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</si>
  <si>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</si>
  <si>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</si>
  <si>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</si>
  <si>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</si>
  <si>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</si>
  <si>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</si>
  <si>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</si>
  <si>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</si>
  <si>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</si>
  <si>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</si>
  <si>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</si>
  <si>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</si>
  <si>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</si>
  <si>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</si>
  <si>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</si>
  <si>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</si>
  <si>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</si>
  <si>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</si>
  <si>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</si>
  <si>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</si>
  <si>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</si>
  <si>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</si>
  <si>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</si>
  <si>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</si>
  <si>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</si>
  <si>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</si>
  <si>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</si>
  <si>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</si>
  <si>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</si>
  <si>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</si>
  <si>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</si>
  <si>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</si>
  <si>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</si>
  <si>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</si>
  <si>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</si>
  <si>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</si>
  <si>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</si>
  <si>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</si>
  <si>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</si>
  <si>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</si>
  <si>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</si>
  <si>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</si>
  <si>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</si>
  <si>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</si>
  <si>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</si>
  <si>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</si>
  <si>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</si>
  <si>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</si>
  <si>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</si>
  <si>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</si>
  <si>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</si>
  <si>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</si>
  <si>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</si>
  <si>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</si>
  <si>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</si>
  <si>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</si>
  <si>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</si>
  <si>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</si>
  <si>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</si>
  <si>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</si>
  <si>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</si>
  <si>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</si>
  <si>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</si>
  <si>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</si>
  <si>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</si>
  <si>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</si>
  <si>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</si>
  <si>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</si>
  <si>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</si>
  <si>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</si>
  <si>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</si>
  <si>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</si>
  <si>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</si>
  <si>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</si>
  <si>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</si>
  <si>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</si>
  <si>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</si>
  <si>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</si>
  <si>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</si>
  <si>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</si>
  <si>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</si>
  <si>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</si>
  <si>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</si>
  <si>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</si>
  <si>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</si>
  <si>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</si>
  <si>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</si>
  <si>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</si>
  <si>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</si>
  <si>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</si>
  <si>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</si>
  <si>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</si>
  <si>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</si>
  <si>
    <t>Consensus Revenue</t>
  </si>
  <si>
    <t>Consensus Diluted EPS</t>
  </si>
  <si>
    <t>YoY Revenue Growth</t>
  </si>
  <si>
    <t>QoQ Revenue Growth</t>
  </si>
  <si>
    <t>Consensus Revenue Growth</t>
  </si>
  <si>
    <t>Consensus EPS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</si>
</sst>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i/>
      <sz val="9"/>
      <color indexed="81"/>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2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165" fontId="61" fillId="9" borderId="0" xfId="1" applyNumberFormat="1" applyFont="1" applyFill="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10" borderId="0" xfId="2" applyNumberFormat="1" applyFont="1" applyFill="1" applyAlignment="1">
      <alignment horizontal="right"/>
    </xf>
    <xf numFmtId="164" fontId="63" fillId="0" borderId="0" xfId="1" applyNumberFormat="1" applyFont="1" applyAlignment="1">
      <alignment horizontal="right"/>
    </xf>
    <xf numFmtId="166" fontId="63" fillId="0" borderId="0" xfId="2" applyNumberFormat="1" applyFont="1" applyFill="1" applyAlignment="1">
      <alignment horizontal="left"/>
    </xf>
    <xf numFmtId="9" fontId="63" fillId="0" borderId="0" xfId="1" applyNumberFormat="1" applyFont="1" applyFill="1" applyAlignment="1">
      <alignment horizontal="right"/>
    </xf>
    <xf numFmtId="10" fontId="61" fillId="0" borderId="0" xfId="2" applyNumberFormat="1" applyFont="1" applyAlignment="1">
      <alignment horizontal="right"/>
    </xf>
    <xf numFmtId="10" fontId="61" fillId="0" borderId="0" xfId="1" applyNumberFormat="1" applyFont="1"/>
    <xf numFmtId="165" fontId="61" fillId="9" borderId="0" xfId="0" applyNumberFormat="1" applyFont="1" applyFill="1" applyAlignment="1">
      <alignment horizontal="right"/>
    </xf>
    <xf numFmtId="2" fontId="61" fillId="9" borderId="0" xfId="0" applyNumberFormat="1" applyFont="1" applyFill="1" applyAlignment="1">
      <alignment horizontal="right"/>
    </xf>
    <xf numFmtId="2" fontId="61" fillId="9" borderId="0" xfId="1" applyNumberFormat="1" applyFont="1" applyFill="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2667.3500000000004</c:v>
                </c:pt>
                <c:pt idx="5">
                  <c:v>2681.75</c:v>
                </c:pt>
                <c:pt idx="6">
                  <c:v>2785.4540000000002</c:v>
                </c:pt>
                <c:pt idx="7">
                  <c:v>2877.3500000000004</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6.6496417797679461</c:v>
                </c:pt>
                <c:pt idx="5">
                  <c:v>6.7058498042661361</c:v>
                </c:pt>
                <c:pt idx="6">
                  <c:v>7.7902006106229074</c:v>
                </c:pt>
                <c:pt idx="7">
                  <c:v>6.4278658243513291</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65732669499626484"/>
          <c:h val="5.5198148308384529E-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1</xdr:row>
      <xdr:rowOff>30480</xdr:rowOff>
    </xdr:from>
    <xdr:to>
      <xdr:col>9</xdr:col>
      <xdr:colOff>769620</xdr:colOff>
      <xdr:row>19</xdr:row>
      <xdr:rowOff>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4" sqref="B4"/>
    </sheetView>
  </sheetViews>
  <sheetFormatPr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3"/>
  <sheetViews>
    <sheetView showGridLines="0" tabSelected="1" zoomScale="80" zoomScaleNormal="80" workbookViewId="0">
      <pane xSplit="3" ySplit="12" topLeftCell="V13" activePane="bottomRight" state="frozen"/>
      <selection pane="topRight" activeCell="D1" sqref="D1"/>
      <selection pane="bottomLeft" activeCell="A13" sqref="A13"/>
      <selection pane="bottomRight" activeCell="B11" sqref="B11:C11"/>
    </sheetView>
  </sheetViews>
  <sheetFormatPr defaultColWidth="8.88671875" defaultRowHeight="14.4" outlineLevelRow="1" outlineLevelCol="1" x14ac:dyDescent="0.3"/>
  <cols>
    <col min="1" max="1" width="1.6640625" style="4" customWidth="1"/>
    <col min="2" max="2" width="37.88671875" style="4" customWidth="1"/>
    <col min="3" max="3" width="10.6640625" style="4" customWidth="1"/>
    <col min="4" max="5" width="11.5546875" style="3" hidden="1" customWidth="1" outlineLevel="1"/>
    <col min="6" max="7" width="11.5546875" style="11" hidden="1" customWidth="1" outlineLevel="1"/>
    <col min="8" max="8" width="11.5546875" style="11" customWidth="1" collapsed="1"/>
    <col min="9" max="10" width="11.5546875" style="3" hidden="1" customWidth="1" outlineLevel="1"/>
    <col min="11" max="12" width="11.5546875" style="11" hidden="1" customWidth="1" outlineLevel="1"/>
    <col min="13" max="13" width="11.5546875" style="11" customWidth="1" collapsed="1"/>
    <col min="14" max="15" width="11.5546875" style="3" hidden="1" customWidth="1" outlineLevel="1"/>
    <col min="16" max="16" width="11.5546875" style="11" hidden="1" customWidth="1" outlineLevel="1"/>
    <col min="17" max="17" width="6.6640625" style="11" hidden="1" customWidth="1" outlineLevel="1"/>
    <col min="18" max="18" width="11.5546875" style="11" customWidth="1" collapsed="1"/>
    <col min="19" max="20" width="11.5546875" style="3" customWidth="1" outlineLevel="1"/>
    <col min="21" max="22" width="11.5546875" style="11" customWidth="1" outlineLevel="1"/>
    <col min="23" max="23" width="11.5546875" style="11" customWidth="1"/>
    <col min="24" max="25" width="11.5546875" style="3" customWidth="1" outlineLevel="1"/>
    <col min="26" max="27" width="11.5546875" style="11" customWidth="1" outlineLevel="1"/>
    <col min="28" max="28" width="11.5546875" style="11" customWidth="1"/>
    <col min="29" max="30" width="11.5546875" style="3" customWidth="1" outlineLevel="1"/>
    <col min="31" max="32" width="11.5546875" style="11" customWidth="1" outlineLevel="1"/>
    <col min="33" max="33" width="11.5546875" style="11" customWidth="1"/>
    <col min="34" max="36" width="8.88671875" style="4"/>
    <col min="37" max="37" width="10.44140625" style="4" bestFit="1" customWidth="1"/>
    <col min="38" max="16384" width="8.88671875" style="4"/>
  </cols>
  <sheetData>
    <row r="1" spans="1:61" ht="13.8" customHeight="1" x14ac:dyDescent="0.3">
      <c r="B1" s="127" t="s">
        <v>15</v>
      </c>
      <c r="X1" s="186" t="s">
        <v>161</v>
      </c>
      <c r="Y1" s="189">
        <f>(Y3-X13)/X13</f>
        <v>-3.0275694875119805E-2</v>
      </c>
      <c r="Z1" s="189">
        <f>(Z3-Y3)/Y3</f>
        <v>9.8837209302325799E-2</v>
      </c>
      <c r="AA1" s="189">
        <f>(AA3-Z3)/Z3</f>
        <v>0.24338624338624315</v>
      </c>
      <c r="AB1" s="189"/>
      <c r="AC1" s="189">
        <f>(AC3-AA3)/AA3</f>
        <v>-0.10212765957446793</v>
      </c>
    </row>
    <row r="2" spans="1:61" ht="15" customHeight="1" x14ac:dyDescent="0.3">
      <c r="B2" s="204" t="s">
        <v>14</v>
      </c>
      <c r="C2" s="205"/>
      <c r="K2" s="12"/>
      <c r="X2" s="186" t="s">
        <v>162</v>
      </c>
      <c r="Y2" s="189">
        <f>(Y4-X31)/X31</f>
        <v>-0.19708194690863373</v>
      </c>
      <c r="Z2" s="189">
        <f>(Z4-Y4)/Y4</f>
        <v>0.23511649666823101</v>
      </c>
      <c r="AA2" s="189">
        <f>(AA4-Z4)/Z4</f>
        <v>0.4560018701620932</v>
      </c>
      <c r="AB2" s="189"/>
      <c r="AC2" s="189">
        <f>(AC4-AA4)/AA4</f>
        <v>-0.2104973285853175</v>
      </c>
    </row>
    <row r="3" spans="1:61" x14ac:dyDescent="0.3">
      <c r="B3" s="194" t="s">
        <v>154</v>
      </c>
      <c r="C3" s="195"/>
      <c r="D3" s="13"/>
      <c r="G3" s="14"/>
      <c r="H3" s="14"/>
      <c r="X3" s="186" t="s">
        <v>157</v>
      </c>
      <c r="Y3" s="191">
        <v>17200</v>
      </c>
      <c r="Z3" s="191">
        <v>18900.000000000004</v>
      </c>
      <c r="AA3" s="191">
        <v>23500</v>
      </c>
      <c r="AB3" s="165">
        <v>77337</v>
      </c>
      <c r="AC3" s="165">
        <v>21100.000000000004</v>
      </c>
    </row>
    <row r="4" spans="1:61" x14ac:dyDescent="0.3">
      <c r="B4" s="196" t="s">
        <v>155</v>
      </c>
      <c r="C4" s="197"/>
      <c r="D4" s="13"/>
      <c r="G4" s="14"/>
      <c r="H4" s="14"/>
      <c r="X4" s="186" t="s">
        <v>158</v>
      </c>
      <c r="Y4" s="192">
        <v>1.3723515677314775</v>
      </c>
      <c r="Z4" s="192">
        <v>1.695014060533657</v>
      </c>
      <c r="AA4" s="192">
        <v>2.4679436420880481</v>
      </c>
      <c r="AB4" s="193">
        <v>7.2445139173704201</v>
      </c>
      <c r="AC4" s="193">
        <v>1.948448098329395</v>
      </c>
      <c r="BI4" s="4" t="s">
        <v>15</v>
      </c>
    </row>
    <row r="5" spans="1:61" x14ac:dyDescent="0.3">
      <c r="B5" s="198" t="s">
        <v>156</v>
      </c>
      <c r="C5" s="199"/>
      <c r="D5" s="15"/>
      <c r="E5" s="13"/>
      <c r="F5" s="13"/>
      <c r="G5" s="14"/>
      <c r="H5" s="14"/>
      <c r="I5" s="14"/>
      <c r="J5" s="14"/>
      <c r="K5" s="14"/>
      <c r="L5" s="14"/>
      <c r="M5" s="13"/>
      <c r="N5" s="13"/>
      <c r="O5" s="13"/>
      <c r="P5" s="13"/>
      <c r="Q5" s="13"/>
      <c r="R5" s="13"/>
      <c r="S5" s="13"/>
      <c r="T5" s="13"/>
      <c r="U5" s="13"/>
      <c r="V5" s="13"/>
      <c r="W5" s="13"/>
      <c r="X5" s="43" t="s">
        <v>160</v>
      </c>
      <c r="Y5" s="189">
        <f>(Y13-X13)/X13</f>
        <v>-1.2066878446186027E-2</v>
      </c>
      <c r="Z5" s="189">
        <f t="shared" ref="Z5" si="0">(Z13-Y13)/Y13</f>
        <v>2.3521173764790907E-2</v>
      </c>
      <c r="AA5" s="189">
        <f>(AA13-Z13)/Z13</f>
        <v>0.18735170942798238</v>
      </c>
      <c r="AB5" s="189"/>
      <c r="AC5" s="189">
        <f>(AC13-AA13)/AA13</f>
        <v>-0.14535764513097765</v>
      </c>
      <c r="AD5" s="13"/>
      <c r="AE5" s="13"/>
      <c r="AF5" s="13"/>
      <c r="AG5" s="13"/>
    </row>
    <row r="6" spans="1:61" s="138" customFormat="1" ht="14.4" hidden="1" customHeight="1" x14ac:dyDescent="0.3">
      <c r="B6" s="170"/>
      <c r="C6" s="171"/>
      <c r="D6" s="172"/>
      <c r="E6" s="172"/>
      <c r="F6" s="172"/>
      <c r="G6" s="154"/>
      <c r="H6" s="154"/>
      <c r="I6" s="172"/>
      <c r="J6" s="172"/>
      <c r="K6" s="172"/>
      <c r="L6" s="172"/>
      <c r="M6" s="173"/>
      <c r="N6" s="172"/>
      <c r="O6" s="172"/>
      <c r="P6" s="172"/>
      <c r="Q6" s="172"/>
      <c r="R6" s="172"/>
      <c r="S6" s="172"/>
      <c r="T6" s="174"/>
      <c r="U6" s="175"/>
      <c r="V6" s="172"/>
      <c r="W6" s="174"/>
      <c r="X6" s="136"/>
      <c r="Y6" s="142"/>
      <c r="Z6" s="142"/>
      <c r="AA6" s="142"/>
      <c r="AB6" s="142"/>
      <c r="AC6" s="142"/>
      <c r="AD6" s="172"/>
      <c r="AE6" s="172"/>
      <c r="AF6" s="172"/>
      <c r="AG6" s="172"/>
    </row>
    <row r="7" spans="1:61" s="138" customFormat="1" ht="14.4" hidden="1" customHeight="1" x14ac:dyDescent="0.3">
      <c r="B7" s="176"/>
      <c r="C7" s="177"/>
      <c r="D7" s="172"/>
      <c r="E7" s="172"/>
      <c r="F7" s="172"/>
      <c r="G7" s="172"/>
      <c r="H7" s="142"/>
      <c r="I7" s="142"/>
      <c r="J7" s="142"/>
      <c r="K7" s="142"/>
      <c r="L7" s="142"/>
      <c r="M7" s="142"/>
      <c r="N7" s="142"/>
      <c r="O7" s="142"/>
      <c r="P7" s="142"/>
      <c r="Q7" s="142"/>
      <c r="R7" s="142"/>
      <c r="S7" s="142"/>
      <c r="T7" s="174"/>
      <c r="U7" s="175"/>
      <c r="V7" s="142"/>
      <c r="W7" s="174"/>
      <c r="X7" s="136"/>
      <c r="Y7" s="142"/>
      <c r="Z7" s="142"/>
      <c r="AA7" s="142"/>
      <c r="AB7" s="142"/>
      <c r="AC7" s="142"/>
      <c r="AD7" s="142"/>
      <c r="AE7" s="142"/>
      <c r="AF7" s="142"/>
      <c r="AG7" s="142"/>
    </row>
    <row r="8" spans="1:61" s="138" customFormat="1" ht="14.4" hidden="1" customHeight="1" x14ac:dyDescent="0.3">
      <c r="B8" s="176"/>
      <c r="C8" s="178"/>
      <c r="D8" s="172"/>
      <c r="E8" s="172"/>
      <c r="F8" s="153"/>
      <c r="G8" s="172"/>
      <c r="H8" s="142"/>
      <c r="I8" s="142"/>
      <c r="J8" s="142"/>
      <c r="K8" s="142"/>
      <c r="L8" s="142"/>
      <c r="M8" s="142"/>
      <c r="N8" s="142"/>
      <c r="O8" s="179"/>
      <c r="P8" s="142"/>
      <c r="Q8" s="142"/>
      <c r="R8" s="142"/>
      <c r="S8" s="133"/>
      <c r="T8" s="174"/>
      <c r="U8" s="180"/>
      <c r="V8" s="180"/>
      <c r="W8" s="133"/>
      <c r="X8" s="187"/>
      <c r="Y8" s="180"/>
      <c r="Z8" s="144"/>
      <c r="AA8" s="140"/>
      <c r="AB8" s="140"/>
      <c r="AC8" s="140"/>
      <c r="AD8" s="133"/>
      <c r="AE8" s="133"/>
      <c r="AF8" s="144"/>
      <c r="AG8" s="133"/>
    </row>
    <row r="9" spans="1:61" s="138" customFormat="1" ht="14.4" hidden="1" customHeight="1" x14ac:dyDescent="0.3">
      <c r="B9" s="181"/>
      <c r="C9" s="182"/>
      <c r="D9" s="172"/>
      <c r="E9" s="172"/>
      <c r="F9" s="153"/>
      <c r="G9" s="172"/>
      <c r="H9" s="144"/>
      <c r="I9" s="144"/>
      <c r="J9" s="144"/>
      <c r="K9" s="144"/>
      <c r="L9" s="144"/>
      <c r="M9" s="144"/>
      <c r="N9" s="144"/>
      <c r="O9" s="144"/>
      <c r="P9" s="144"/>
      <c r="Q9" s="144"/>
      <c r="R9" s="144"/>
      <c r="S9" s="151"/>
      <c r="T9" s="133"/>
      <c r="U9" s="183"/>
      <c r="V9" s="184"/>
      <c r="W9" s="142"/>
      <c r="X9" s="188"/>
      <c r="Y9" s="142"/>
      <c r="Z9" s="142"/>
      <c r="AA9" s="142"/>
      <c r="AB9" s="142"/>
      <c r="AC9" s="142"/>
      <c r="AD9" s="144"/>
      <c r="AE9" s="144"/>
      <c r="AF9" s="144"/>
      <c r="AG9" s="144"/>
    </row>
    <row r="10" spans="1:61" ht="17.399999999999999" customHeight="1" x14ac:dyDescent="0.3">
      <c r="B10" s="127" t="s">
        <v>15</v>
      </c>
      <c r="D10" s="17"/>
      <c r="E10" s="17"/>
      <c r="F10" s="17"/>
      <c r="G10" s="17"/>
      <c r="H10" s="18"/>
      <c r="I10" s="17"/>
      <c r="J10" s="17"/>
      <c r="K10" s="17"/>
      <c r="L10" s="17"/>
      <c r="M10" s="17"/>
      <c r="N10" s="17"/>
      <c r="O10" s="17"/>
      <c r="P10" s="17"/>
      <c r="Q10" s="17"/>
      <c r="R10" s="17"/>
      <c r="S10" s="110"/>
      <c r="T10" s="110"/>
      <c r="U10" s="161"/>
      <c r="V10" s="168"/>
      <c r="W10" s="169"/>
      <c r="X10" s="188" t="s">
        <v>159</v>
      </c>
      <c r="Y10" s="190">
        <f>(Y13-T13)/T13</f>
        <v>3.772176815113102E-2</v>
      </c>
      <c r="Z10" s="190">
        <f>(Z13-U13)/U13</f>
        <v>1.6039575912077653E-2</v>
      </c>
      <c r="AA10" s="190">
        <f t="shared" ref="AA10" si="1">(AA13-V13)/V13</f>
        <v>1.0118013926572366E-2</v>
      </c>
      <c r="AB10" s="190"/>
      <c r="AC10" s="190">
        <f>(AC13-X13)/X13</f>
        <v>2.6096417139313394E-2</v>
      </c>
      <c r="AD10" s="110"/>
      <c r="AE10" s="110"/>
      <c r="AF10" s="111"/>
      <c r="AG10" s="13"/>
    </row>
    <row r="11" spans="1:61" ht="16.2" customHeight="1" x14ac:dyDescent="0.3">
      <c r="A11" s="216"/>
      <c r="B11" s="200" t="s">
        <v>74</v>
      </c>
      <c r="C11" s="201"/>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8" customHeight="1" x14ac:dyDescent="0.45">
      <c r="A12" s="216"/>
      <c r="B12" s="202" t="s">
        <v>3</v>
      </c>
      <c r="C12" s="203"/>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208" t="s">
        <v>19</v>
      </c>
      <c r="C13" s="209"/>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+Y40</f>
        <v>17522.969776999998</v>
      </c>
      <c r="Z13" s="133">
        <f t="shared" ref="Z13" si="2">+Z40</f>
        <v>17935.130593999995</v>
      </c>
      <c r="AA13" s="133">
        <f>+AA40</f>
        <v>21295.307969599999</v>
      </c>
      <c r="AB13" s="128">
        <f>SUM(X13:AA13)</f>
        <v>74490.408340599999</v>
      </c>
      <c r="AC13" s="133">
        <f t="shared" ref="AC13:AE13" si="3">+AC40</f>
        <v>18199.872150800002</v>
      </c>
      <c r="AD13" s="133">
        <f t="shared" si="3"/>
        <v>21274.825863249</v>
      </c>
      <c r="AE13" s="133">
        <f t="shared" si="3"/>
        <v>22858.238071120533</v>
      </c>
      <c r="AF13" s="133">
        <f>+AF40</f>
        <v>27005.32032726043</v>
      </c>
      <c r="AG13" s="128">
        <f>SUM(AC13:AF13)</f>
        <v>89338.256412429968</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3504.5939553999988</v>
      </c>
      <c r="Z14" s="135">
        <f>+Z13*(1-Z69)</f>
        <v>3676.7017717699982</v>
      </c>
      <c r="AA14" s="135">
        <f>+AA13*(1-AA69)</f>
        <v>4472.0146736159986</v>
      </c>
      <c r="AB14" s="129">
        <f>SUM(X14:AA14)</f>
        <v>15112.310400785995</v>
      </c>
      <c r="AC14" s="34">
        <f>+AC13*(1-AC69)</f>
        <v>3821.9731516679999</v>
      </c>
      <c r="AD14" s="34">
        <f>+AD13*(1-AD69)</f>
        <v>4467.7134312822891</v>
      </c>
      <c r="AE14" s="34">
        <f>+AE13*(1-AE69)</f>
        <v>4800.229994935311</v>
      </c>
      <c r="AF14" s="34">
        <f>+AF13*(1-AF69)</f>
        <v>5671.117268724689</v>
      </c>
      <c r="AG14" s="129">
        <f>SUM(AC14:AF14)</f>
        <v>18761.033846610291</v>
      </c>
    </row>
    <row r="15" spans="1:61" s="21" customFormat="1" x14ac:dyDescent="0.3">
      <c r="A15" s="141"/>
      <c r="B15" s="73" t="s">
        <v>66</v>
      </c>
      <c r="C15" s="74"/>
      <c r="D15" s="40">
        <f>+D13-D14</f>
        <v>4544</v>
      </c>
      <c r="E15" s="40">
        <f t="shared" ref="E15:G15" si="4">+E13-E14</f>
        <v>5520</v>
      </c>
      <c r="F15" s="40">
        <f t="shared" si="4"/>
        <v>6024</v>
      </c>
      <c r="G15" s="40">
        <f t="shared" si="4"/>
        <v>7761</v>
      </c>
      <c r="H15" s="41">
        <f>+H13-H14</f>
        <v>23849</v>
      </c>
      <c r="I15" s="40">
        <f>+I13-I14</f>
        <v>6873</v>
      </c>
      <c r="J15" s="40">
        <f t="shared" ref="J15" si="5">+J13-J14</f>
        <v>8084</v>
      </c>
      <c r="K15" s="40">
        <f t="shared" ref="K15" si="6">+K13-K14</f>
        <v>8880</v>
      </c>
      <c r="L15" s="40">
        <f t="shared" ref="L15" si="7">+L13-L14</f>
        <v>11361</v>
      </c>
      <c r="M15" s="41">
        <f>+M13-M14</f>
        <v>35198</v>
      </c>
      <c r="N15" s="40">
        <f>+N13-N14</f>
        <v>10039</v>
      </c>
      <c r="O15" s="40">
        <f t="shared" ref="O15" si="8">+O13-O14</f>
        <v>11017</v>
      </c>
      <c r="P15" s="40">
        <f t="shared" ref="P15" si="9">+P13-P14</f>
        <v>11309</v>
      </c>
      <c r="Q15" s="40">
        <f t="shared" ref="Q15" si="10">+Q13-Q14</f>
        <v>14118</v>
      </c>
      <c r="R15" s="41">
        <f>+R13-R14</f>
        <v>46483</v>
      </c>
      <c r="S15" s="40">
        <f>+S13-S14</f>
        <v>12261</v>
      </c>
      <c r="T15" s="134">
        <f t="shared" ref="T15" si="11">+T13-T14</f>
        <v>13579</v>
      </c>
      <c r="U15" s="40">
        <f t="shared" ref="U15" si="12">+U13-U14</f>
        <v>14497</v>
      </c>
      <c r="V15" s="40">
        <f t="shared" ref="V15" si="13">+V13-V14</f>
        <v>17590</v>
      </c>
      <c r="W15" s="41">
        <f>+W13-W14</f>
        <v>57927</v>
      </c>
      <c r="X15" s="40">
        <f>+X13-X14</f>
        <v>14278</v>
      </c>
      <c r="Y15" s="40">
        <f t="shared" ref="Y15" si="14">+Y13-Y14</f>
        <v>14018.375821599999</v>
      </c>
      <c r="Z15" s="40">
        <f t="shared" ref="Z15" si="15">+Z13-Z14</f>
        <v>14258.428822229997</v>
      </c>
      <c r="AA15" s="40">
        <f t="shared" ref="AA15" si="16">+AA13-AA14</f>
        <v>16823.293295984</v>
      </c>
      <c r="AB15" s="130">
        <f>+AB13-AB14</f>
        <v>59378.097939814004</v>
      </c>
      <c r="AC15" s="40">
        <f>+AC13-AC14</f>
        <v>14377.898999132001</v>
      </c>
      <c r="AD15" s="40">
        <f t="shared" ref="AD15" si="17">+AD13-AD14</f>
        <v>16807.112431966711</v>
      </c>
      <c r="AE15" s="40">
        <f t="shared" ref="AE15" si="18">+AE13-AE14</f>
        <v>18058.008076185222</v>
      </c>
      <c r="AF15" s="40">
        <f t="shared" ref="AF15" si="19">+AF13-AF14</f>
        <v>21334.203058535742</v>
      </c>
      <c r="AG15" s="130">
        <f>+AG13-AG14</f>
        <v>70577.222565819684</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20">SUM(D17:G17)</f>
        <v>5919</v>
      </c>
      <c r="I17" s="29">
        <v>1834</v>
      </c>
      <c r="J17" s="29">
        <v>1919</v>
      </c>
      <c r="K17" s="29">
        <v>2052</v>
      </c>
      <c r="L17" s="29">
        <v>1949</v>
      </c>
      <c r="M17" s="30">
        <f t="shared" ref="M17:M19" si="21">SUM(I17:L17)</f>
        <v>7754</v>
      </c>
      <c r="N17" s="29">
        <v>2238</v>
      </c>
      <c r="O17" s="29">
        <v>2523</v>
      </c>
      <c r="P17" s="29">
        <v>2657</v>
      </c>
      <c r="Q17" s="29">
        <v>2855</v>
      </c>
      <c r="R17" s="30">
        <f t="shared" ref="R17:R19" si="22">SUM(N17:Q17)</f>
        <v>10273</v>
      </c>
      <c r="S17" s="29">
        <v>2860</v>
      </c>
      <c r="T17" s="133">
        <v>3315</v>
      </c>
      <c r="U17" s="29">
        <v>3548</v>
      </c>
      <c r="V17" s="29">
        <f>13600-U17-T17-S17</f>
        <v>3877</v>
      </c>
      <c r="W17" s="30">
        <f t="shared" ref="W17:W19" si="23">SUM(S17:V17)</f>
        <v>13600</v>
      </c>
      <c r="X17" s="29">
        <v>4015</v>
      </c>
      <c r="Y17" s="29">
        <f>+Y13*Y70</f>
        <v>4205.5127464799998</v>
      </c>
      <c r="Z17" s="29">
        <f>+Z13*Z70</f>
        <v>4304.4313425599985</v>
      </c>
      <c r="AA17" s="29">
        <f>+AA13*AA70</f>
        <v>5110.8739127039998</v>
      </c>
      <c r="AB17" s="128">
        <f t="shared" ref="AB17:AB19" si="24">SUM(X17:AA17)</f>
        <v>17635.818001743995</v>
      </c>
      <c r="AC17" s="29">
        <f>+AC13*AC70</f>
        <v>4367.9693161920004</v>
      </c>
      <c r="AD17" s="29">
        <f>+AD13*AD70</f>
        <v>5105.9582071797595</v>
      </c>
      <c r="AE17" s="29">
        <f>+AE13*AE70</f>
        <v>5485.9771370689277</v>
      </c>
      <c r="AF17" s="29">
        <f>+AF13*AF70</f>
        <v>6481.2768785425033</v>
      </c>
      <c r="AG17" s="128">
        <f t="shared" ref="AG17:AG19" si="25">SUM(AC17:AF17)</f>
        <v>21441.18153898319</v>
      </c>
    </row>
    <row r="18" spans="1:33" x14ac:dyDescent="0.3">
      <c r="A18" s="138"/>
      <c r="B18" s="75" t="s">
        <v>69</v>
      </c>
      <c r="C18" s="32"/>
      <c r="D18" s="29">
        <v>826</v>
      </c>
      <c r="E18" s="29">
        <v>899</v>
      </c>
      <c r="F18" s="29">
        <v>925</v>
      </c>
      <c r="G18" s="29">
        <f>3772-F18-E18-D18</f>
        <v>1122</v>
      </c>
      <c r="H18" s="30">
        <f t="shared" si="20"/>
        <v>3772</v>
      </c>
      <c r="I18" s="29">
        <v>1057</v>
      </c>
      <c r="J18" s="29">
        <v>1124</v>
      </c>
      <c r="K18" s="29">
        <v>1170</v>
      </c>
      <c r="L18" s="29">
        <v>1374</v>
      </c>
      <c r="M18" s="30">
        <f t="shared" si="21"/>
        <v>4725</v>
      </c>
      <c r="N18" s="29">
        <v>1595</v>
      </c>
      <c r="O18" s="29">
        <v>1855</v>
      </c>
      <c r="P18" s="29">
        <v>1928</v>
      </c>
      <c r="Q18" s="29">
        <v>2467</v>
      </c>
      <c r="R18" s="30">
        <f t="shared" si="22"/>
        <v>7845</v>
      </c>
      <c r="S18" s="29">
        <v>2020</v>
      </c>
      <c r="T18" s="133">
        <v>2414</v>
      </c>
      <c r="U18" s="29">
        <v>2416</v>
      </c>
      <c r="V18" s="29">
        <f>9876-U18-T18-S18</f>
        <v>3026</v>
      </c>
      <c r="W18" s="30">
        <f t="shared" si="23"/>
        <v>9876</v>
      </c>
      <c r="X18" s="29">
        <v>2787</v>
      </c>
      <c r="Y18" s="29">
        <f>+Y13*Y71</f>
        <v>2978.9048620899998</v>
      </c>
      <c r="Z18" s="29">
        <f>+Z13*Z71</f>
        <v>3048.9722009799993</v>
      </c>
      <c r="AA18" s="29">
        <f>+AA13*AA71</f>
        <v>3620.2023548319999</v>
      </c>
      <c r="AB18" s="128">
        <f t="shared" si="24"/>
        <v>12435.079417901998</v>
      </c>
      <c r="AC18" s="29">
        <f>+AC13*AC71</f>
        <v>3093.9782656360003</v>
      </c>
      <c r="AD18" s="29">
        <f>+AD13*AD71</f>
        <v>3616.7203967523301</v>
      </c>
      <c r="AE18" s="29">
        <f>+AE13*AE71</f>
        <v>3885.9004720904909</v>
      </c>
      <c r="AF18" s="29">
        <f>+AF13*AF71</f>
        <v>4590.9044556342733</v>
      </c>
      <c r="AG18" s="128">
        <f t="shared" si="25"/>
        <v>15187.503590113094</v>
      </c>
    </row>
    <row r="19" spans="1:33" ht="17.25" customHeight="1" x14ac:dyDescent="0.45">
      <c r="A19" s="138"/>
      <c r="B19" s="75" t="s">
        <v>70</v>
      </c>
      <c r="C19" s="32"/>
      <c r="D19" s="34">
        <v>366</v>
      </c>
      <c r="E19" s="34">
        <v>412</v>
      </c>
      <c r="F19" s="34">
        <v>438</v>
      </c>
      <c r="G19" s="34">
        <f>1731-F19-E19-D19</f>
        <v>515</v>
      </c>
      <c r="H19" s="35">
        <f t="shared" si="20"/>
        <v>1731</v>
      </c>
      <c r="I19" s="34">
        <v>655</v>
      </c>
      <c r="J19" s="34">
        <v>640</v>
      </c>
      <c r="K19" s="34">
        <v>536</v>
      </c>
      <c r="L19" s="34">
        <v>686</v>
      </c>
      <c r="M19" s="35">
        <f t="shared" si="21"/>
        <v>2517</v>
      </c>
      <c r="N19" s="34">
        <v>757</v>
      </c>
      <c r="O19" s="34">
        <v>776</v>
      </c>
      <c r="P19" s="34">
        <v>943</v>
      </c>
      <c r="Q19" s="34">
        <v>976</v>
      </c>
      <c r="R19" s="35">
        <f t="shared" si="22"/>
        <v>3452</v>
      </c>
      <c r="S19" s="135">
        <v>4064</v>
      </c>
      <c r="T19" s="135">
        <v>3224</v>
      </c>
      <c r="U19" s="34">
        <v>1348</v>
      </c>
      <c r="V19" s="34">
        <f>10465-U19-T19-S19</f>
        <v>1829</v>
      </c>
      <c r="W19" s="35">
        <f t="shared" si="23"/>
        <v>10465</v>
      </c>
      <c r="X19" s="34">
        <v>1583</v>
      </c>
      <c r="Y19" s="34">
        <f>Y13*Y72</f>
        <v>1752.2969776999998</v>
      </c>
      <c r="Z19" s="34">
        <f>Z13*Z72</f>
        <v>1972.8643653399995</v>
      </c>
      <c r="AA19" s="34">
        <f>AA13*AA72</f>
        <v>2555.4369563519999</v>
      </c>
      <c r="AB19" s="129">
        <f t="shared" si="24"/>
        <v>7863.5982993919988</v>
      </c>
      <c r="AC19" s="34">
        <f>AC13*AC72</f>
        <v>2365.9833796040002</v>
      </c>
      <c r="AD19" s="34">
        <f>AD13*AD72</f>
        <v>2552.9791035898797</v>
      </c>
      <c r="AE19" s="34">
        <f>AE13*AE72</f>
        <v>2057.241426400848</v>
      </c>
      <c r="AF19" s="34">
        <f>AF13*AF72</f>
        <v>2430.4788294534387</v>
      </c>
      <c r="AG19" s="129">
        <f t="shared" si="25"/>
        <v>9406.6827390481667</v>
      </c>
    </row>
    <row r="20" spans="1:33" s="39" customFormat="1" ht="17.25" customHeight="1" x14ac:dyDescent="0.45">
      <c r="A20" s="163"/>
      <c r="B20" s="90" t="s">
        <v>11</v>
      </c>
      <c r="C20" s="36"/>
      <c r="D20" s="37">
        <f t="shared" ref="D20:AG20" si="26">SUM(D17:D19)</f>
        <v>2535</v>
      </c>
      <c r="E20" s="37">
        <f t="shared" si="26"/>
        <v>2774</v>
      </c>
      <c r="F20" s="37">
        <f t="shared" si="26"/>
        <v>2902</v>
      </c>
      <c r="G20" s="37">
        <f t="shared" si="26"/>
        <v>3211</v>
      </c>
      <c r="H20" s="38">
        <f t="shared" si="26"/>
        <v>11422</v>
      </c>
      <c r="I20" s="37">
        <f t="shared" si="26"/>
        <v>3546</v>
      </c>
      <c r="J20" s="37">
        <f t="shared" si="26"/>
        <v>3683</v>
      </c>
      <c r="K20" s="37">
        <f t="shared" si="26"/>
        <v>3758</v>
      </c>
      <c r="L20" s="37">
        <f t="shared" si="26"/>
        <v>4009</v>
      </c>
      <c r="M20" s="38">
        <f t="shared" si="26"/>
        <v>14996</v>
      </c>
      <c r="N20" s="37">
        <f t="shared" si="26"/>
        <v>4590</v>
      </c>
      <c r="O20" s="37">
        <f t="shared" si="26"/>
        <v>5154</v>
      </c>
      <c r="P20" s="37">
        <f t="shared" si="26"/>
        <v>5528</v>
      </c>
      <c r="Q20" s="37">
        <f t="shared" si="26"/>
        <v>6298</v>
      </c>
      <c r="R20" s="38">
        <f t="shared" si="26"/>
        <v>21570</v>
      </c>
      <c r="S20" s="37">
        <f t="shared" si="26"/>
        <v>8944</v>
      </c>
      <c r="T20" s="155">
        <f t="shared" si="26"/>
        <v>8953</v>
      </c>
      <c r="U20" s="37">
        <f t="shared" si="26"/>
        <v>7312</v>
      </c>
      <c r="V20" s="37">
        <f t="shared" si="26"/>
        <v>8732</v>
      </c>
      <c r="W20" s="38">
        <f t="shared" si="26"/>
        <v>33941</v>
      </c>
      <c r="X20" s="37">
        <f t="shared" si="26"/>
        <v>8385</v>
      </c>
      <c r="Y20" s="37">
        <f t="shared" si="26"/>
        <v>8936.7145862699999</v>
      </c>
      <c r="Z20" s="37">
        <f t="shared" si="26"/>
        <v>9326.2679088799978</v>
      </c>
      <c r="AA20" s="37">
        <f t="shared" si="26"/>
        <v>11286.513223888</v>
      </c>
      <c r="AB20" s="131">
        <f t="shared" si="26"/>
        <v>37934.495719037994</v>
      </c>
      <c r="AC20" s="37">
        <f t="shared" si="26"/>
        <v>9827.9309614320009</v>
      </c>
      <c r="AD20" s="37">
        <f t="shared" si="26"/>
        <v>11275.65770752197</v>
      </c>
      <c r="AE20" s="37">
        <f t="shared" si="26"/>
        <v>11429.119035560267</v>
      </c>
      <c r="AF20" s="37">
        <f t="shared" si="26"/>
        <v>13502.660163630217</v>
      </c>
      <c r="AG20" s="131">
        <f t="shared" si="26"/>
        <v>46035.367868144443</v>
      </c>
    </row>
    <row r="21" spans="1:33" x14ac:dyDescent="0.3">
      <c r="A21" s="138"/>
      <c r="B21" s="90" t="s">
        <v>22</v>
      </c>
      <c r="C21" s="33"/>
      <c r="D21" s="40">
        <f>D15-D20</f>
        <v>2009</v>
      </c>
      <c r="E21" s="40">
        <f t="shared" ref="E21:F21" si="27">E15-E20</f>
        <v>2746</v>
      </c>
      <c r="F21" s="40">
        <f t="shared" si="27"/>
        <v>3122</v>
      </c>
      <c r="G21" s="40">
        <f>G15-G20</f>
        <v>4550</v>
      </c>
      <c r="H21" s="41">
        <f>H15-H20</f>
        <v>12427</v>
      </c>
      <c r="I21" s="40">
        <f>I15-I20</f>
        <v>3327</v>
      </c>
      <c r="J21" s="40">
        <f t="shared" ref="J21" si="28">J15-J20</f>
        <v>4401</v>
      </c>
      <c r="K21" s="40">
        <f t="shared" ref="K21" si="29">K15-K20</f>
        <v>5122</v>
      </c>
      <c r="L21" s="40">
        <f>L15-L20</f>
        <v>7352</v>
      </c>
      <c r="M21" s="41">
        <f>M15-M20</f>
        <v>20202</v>
      </c>
      <c r="N21" s="40">
        <f>N15-N20</f>
        <v>5449</v>
      </c>
      <c r="O21" s="40">
        <f t="shared" ref="O21" si="30">O15-O20</f>
        <v>5863</v>
      </c>
      <c r="P21" s="40">
        <f t="shared" ref="P21" si="31">P15-P20</f>
        <v>5781</v>
      </c>
      <c r="Q21" s="40">
        <f>Q15-Q20</f>
        <v>7820</v>
      </c>
      <c r="R21" s="41">
        <f>R15-R20</f>
        <v>24913</v>
      </c>
      <c r="S21" s="134">
        <f>S15-S20</f>
        <v>3317</v>
      </c>
      <c r="T21" s="134">
        <f t="shared" ref="T21" si="32">T15-T20</f>
        <v>4626</v>
      </c>
      <c r="U21" s="134">
        <f t="shared" ref="U21" si="33">U15-U20</f>
        <v>7185</v>
      </c>
      <c r="V21" s="134">
        <f>V15-V20</f>
        <v>8858</v>
      </c>
      <c r="W21" s="41">
        <f>W15-W20</f>
        <v>23986</v>
      </c>
      <c r="X21" s="40">
        <f>X15-X20</f>
        <v>5893</v>
      </c>
      <c r="Y21" s="40">
        <f>Y15-Y20</f>
        <v>5081.6612353299988</v>
      </c>
      <c r="Z21" s="40">
        <f t="shared" ref="Z21" si="34">Z15-Z20</f>
        <v>4932.1609133499987</v>
      </c>
      <c r="AA21" s="40">
        <f>AA15-AA20</f>
        <v>5536.7800720960004</v>
      </c>
      <c r="AB21" s="130">
        <f>AB15-AB20</f>
        <v>21443.602220776011</v>
      </c>
      <c r="AC21" s="40">
        <f>AC15-AC20</f>
        <v>4549.9680377000004</v>
      </c>
      <c r="AD21" s="40">
        <f t="shared" ref="AD21" si="35">AD15-AD20</f>
        <v>5531.4547244447404</v>
      </c>
      <c r="AE21" s="40">
        <f t="shared" ref="AE21" si="36">AE15-AE20</f>
        <v>6628.8890406249557</v>
      </c>
      <c r="AF21" s="40">
        <f>AF15-AF20</f>
        <v>7831.5428949055258</v>
      </c>
      <c r="AG21" s="130">
        <f>AG15-AG20</f>
        <v>24541.85469767524</v>
      </c>
    </row>
    <row r="22" spans="1:33" ht="16.2" x14ac:dyDescent="0.45">
      <c r="A22" s="138"/>
      <c r="B22" s="70" t="s">
        <v>71</v>
      </c>
      <c r="C22" s="69"/>
      <c r="D22" s="34">
        <v>56</v>
      </c>
      <c r="E22" s="34">
        <v>20</v>
      </c>
      <c r="F22" s="34">
        <v>47</v>
      </c>
      <c r="G22" s="34">
        <v>-32</v>
      </c>
      <c r="H22" s="35">
        <f t="shared" ref="H22" si="37">SUM(D22:G22)</f>
        <v>91</v>
      </c>
      <c r="I22" s="34">
        <v>81</v>
      </c>
      <c r="J22" s="34">
        <v>87</v>
      </c>
      <c r="K22" s="34">
        <v>114</v>
      </c>
      <c r="L22" s="34">
        <v>110</v>
      </c>
      <c r="M22" s="35">
        <f t="shared" ref="M22" si="38">SUM(I22:L22)</f>
        <v>392</v>
      </c>
      <c r="N22" s="34">
        <v>161</v>
      </c>
      <c r="O22" s="34">
        <v>5</v>
      </c>
      <c r="P22" s="34">
        <v>131</v>
      </c>
      <c r="Q22" s="34">
        <v>151</v>
      </c>
      <c r="R22" s="35">
        <f t="shared" ref="R22" si="39">SUM(N22:Q22)</f>
        <v>448</v>
      </c>
      <c r="S22" s="135">
        <v>165</v>
      </c>
      <c r="T22" s="135">
        <v>206</v>
      </c>
      <c r="U22" s="135">
        <v>144</v>
      </c>
      <c r="V22" s="135">
        <f>826-U22-T22-S22</f>
        <v>311</v>
      </c>
      <c r="W22" s="35">
        <f t="shared" ref="W22" si="40">SUM(S22:V22)</f>
        <v>826</v>
      </c>
      <c r="X22" s="135">
        <v>-32</v>
      </c>
      <c r="Y22" s="57">
        <f>AVERAGE(X22,V22,U22,T22)</f>
        <v>157.25</v>
      </c>
      <c r="Z22" s="57">
        <f>AVERAGE(Y22,X22,V22,U22)</f>
        <v>145.0625</v>
      </c>
      <c r="AA22" s="57">
        <f>AVERAGE(Z22,Y22,X22,V22)</f>
        <v>145.328125</v>
      </c>
      <c r="AB22" s="129">
        <f t="shared" ref="AB22" si="41">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2">SUM(AC22:AF22)</f>
        <v>504.88824462890625</v>
      </c>
    </row>
    <row r="23" spans="1:33" x14ac:dyDescent="0.3">
      <c r="A23" s="138"/>
      <c r="B23" s="210" t="s">
        <v>23</v>
      </c>
      <c r="C23" s="211"/>
      <c r="D23" s="40">
        <f t="shared" ref="D23:AG23" si="43">D21+D22</f>
        <v>2065</v>
      </c>
      <c r="E23" s="40">
        <f t="shared" si="43"/>
        <v>2766</v>
      </c>
      <c r="F23" s="40">
        <f t="shared" si="43"/>
        <v>3169</v>
      </c>
      <c r="G23" s="40">
        <f t="shared" si="43"/>
        <v>4518</v>
      </c>
      <c r="H23" s="41">
        <f t="shared" si="43"/>
        <v>12518</v>
      </c>
      <c r="I23" s="40">
        <f t="shared" si="43"/>
        <v>3408</v>
      </c>
      <c r="J23" s="40">
        <f t="shared" si="43"/>
        <v>4488</v>
      </c>
      <c r="K23" s="40">
        <f t="shared" si="43"/>
        <v>5236</v>
      </c>
      <c r="L23" s="40">
        <f t="shared" si="43"/>
        <v>7462</v>
      </c>
      <c r="M23" s="41">
        <f t="shared" si="43"/>
        <v>20594</v>
      </c>
      <c r="N23" s="40">
        <f t="shared" si="43"/>
        <v>5610</v>
      </c>
      <c r="O23" s="40">
        <f t="shared" si="43"/>
        <v>5868</v>
      </c>
      <c r="P23" s="40">
        <f t="shared" si="43"/>
        <v>5912</v>
      </c>
      <c r="Q23" s="40">
        <f t="shared" si="43"/>
        <v>7971</v>
      </c>
      <c r="R23" s="41">
        <f t="shared" si="43"/>
        <v>25361</v>
      </c>
      <c r="S23" s="134">
        <f t="shared" si="43"/>
        <v>3482</v>
      </c>
      <c r="T23" s="134">
        <f t="shared" si="43"/>
        <v>4832</v>
      </c>
      <c r="U23" s="40">
        <f t="shared" si="43"/>
        <v>7329</v>
      </c>
      <c r="V23" s="40">
        <f>V21+V22</f>
        <v>9169</v>
      </c>
      <c r="W23" s="41">
        <f t="shared" si="43"/>
        <v>24812</v>
      </c>
      <c r="X23" s="134">
        <f t="shared" si="43"/>
        <v>5861</v>
      </c>
      <c r="Y23" s="40">
        <f t="shared" si="43"/>
        <v>5238.9112353299988</v>
      </c>
      <c r="Z23" s="40">
        <f t="shared" si="43"/>
        <v>5077.2234133499987</v>
      </c>
      <c r="AA23" s="40">
        <f t="shared" si="43"/>
        <v>5682.1081970960004</v>
      </c>
      <c r="AB23" s="130">
        <f t="shared" si="43"/>
        <v>21859.242845776011</v>
      </c>
      <c r="AC23" s="40">
        <f t="shared" si="43"/>
        <v>4653.8781939500004</v>
      </c>
      <c r="AD23" s="40">
        <f t="shared" si="43"/>
        <v>5669.3424197572404</v>
      </c>
      <c r="AE23" s="40">
        <f t="shared" si="43"/>
        <v>6761.9361597655807</v>
      </c>
      <c r="AF23" s="40">
        <f t="shared" si="43"/>
        <v>7961.5861688313071</v>
      </c>
      <c r="AG23" s="130">
        <f t="shared" si="43"/>
        <v>25046.742942304147</v>
      </c>
    </row>
    <row r="24" spans="1:33" ht="16.2" x14ac:dyDescent="0.45">
      <c r="A24" s="138"/>
      <c r="B24" s="208" t="s">
        <v>7</v>
      </c>
      <c r="C24" s="209"/>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-943.00402235939976</v>
      </c>
      <c r="Z24" s="34">
        <f>+Z23*-Z76</f>
        <v>-913.90021440299972</v>
      </c>
      <c r="AA24" s="34">
        <f>+AA23*-AA76</f>
        <v>-1022.77947547728</v>
      </c>
      <c r="AB24" s="129">
        <f>SUM(X24:AA24)</f>
        <v>-3838.6837122396792</v>
      </c>
      <c r="AC24" s="34">
        <f>+AC23*-AC76</f>
        <v>-818.64504517821888</v>
      </c>
      <c r="AD24" s="34">
        <f>+AD23*-AD76</f>
        <v>-1028.6699670816452</v>
      </c>
      <c r="AE24" s="34">
        <f>+AE23*-AE76</f>
        <v>-1229.356488742485</v>
      </c>
      <c r="AF24" s="34">
        <f>+AF23*-AF76</f>
        <v>-1451.0527911911245</v>
      </c>
      <c r="AG24" s="129">
        <f>SUM(AC24:AF24)</f>
        <v>-4527.724292193474</v>
      </c>
    </row>
    <row r="25" spans="1:33" x14ac:dyDescent="0.3">
      <c r="A25" s="145"/>
      <c r="B25" s="210" t="s">
        <v>8</v>
      </c>
      <c r="C25" s="211"/>
      <c r="D25" s="40">
        <f t="shared" ref="D25:AG25" si="44">+D23+D24</f>
        <v>1510</v>
      </c>
      <c r="E25" s="40">
        <f t="shared" si="44"/>
        <v>2055</v>
      </c>
      <c r="F25" s="40">
        <f t="shared" si="44"/>
        <v>2379</v>
      </c>
      <c r="G25" s="40">
        <f t="shared" si="44"/>
        <v>4273</v>
      </c>
      <c r="H25" s="41">
        <f t="shared" si="44"/>
        <v>10217</v>
      </c>
      <c r="I25" s="40">
        <f t="shared" si="44"/>
        <v>3064</v>
      </c>
      <c r="J25" s="40">
        <f t="shared" si="44"/>
        <v>3894</v>
      </c>
      <c r="K25" s="40">
        <f t="shared" si="44"/>
        <v>4707</v>
      </c>
      <c r="L25" s="40">
        <f t="shared" si="44"/>
        <v>4268</v>
      </c>
      <c r="M25" s="41">
        <f t="shared" si="44"/>
        <v>15933</v>
      </c>
      <c r="N25" s="40">
        <f t="shared" si="44"/>
        <v>4988</v>
      </c>
      <c r="O25" s="40">
        <f t="shared" si="44"/>
        <v>5106</v>
      </c>
      <c r="P25" s="40">
        <f t="shared" si="44"/>
        <v>5137</v>
      </c>
      <c r="Q25" s="40">
        <f t="shared" si="44"/>
        <v>6882</v>
      </c>
      <c r="R25" s="41">
        <f t="shared" si="44"/>
        <v>22113</v>
      </c>
      <c r="S25" s="134">
        <f t="shared" si="44"/>
        <v>2429</v>
      </c>
      <c r="T25" s="134">
        <f t="shared" si="44"/>
        <v>2616</v>
      </c>
      <c r="U25" s="40">
        <f t="shared" si="44"/>
        <v>6091</v>
      </c>
      <c r="V25" s="40">
        <f t="shared" si="44"/>
        <v>7349</v>
      </c>
      <c r="W25" s="41">
        <f t="shared" si="44"/>
        <v>18485</v>
      </c>
      <c r="X25" s="134">
        <f t="shared" si="44"/>
        <v>4902</v>
      </c>
      <c r="Y25" s="40">
        <f>+Y23+Y24</f>
        <v>4295.9072129705992</v>
      </c>
      <c r="Z25" s="40">
        <f t="shared" si="44"/>
        <v>4163.3231989469987</v>
      </c>
      <c r="AA25" s="40">
        <f t="shared" si="44"/>
        <v>4659.32872161872</v>
      </c>
      <c r="AB25" s="130">
        <f t="shared" si="44"/>
        <v>18020.559133536332</v>
      </c>
      <c r="AC25" s="40">
        <f t="shared" si="44"/>
        <v>3835.2331487717815</v>
      </c>
      <c r="AD25" s="40">
        <f t="shared" si="44"/>
        <v>4640.6724526755952</v>
      </c>
      <c r="AE25" s="40">
        <f t="shared" si="44"/>
        <v>5532.5796710230952</v>
      </c>
      <c r="AF25" s="40">
        <f t="shared" si="44"/>
        <v>6510.5333776401822</v>
      </c>
      <c r="AG25" s="130">
        <f t="shared" si="44"/>
        <v>20519.018650110673</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5">+E25-E26</f>
        <v>2048</v>
      </c>
      <c r="F27" s="40">
        <f t="shared" si="45"/>
        <v>2373</v>
      </c>
      <c r="G27" s="40">
        <f t="shared" si="45"/>
        <v>4266</v>
      </c>
      <c r="H27" s="41">
        <f>+H25-H26</f>
        <v>10192</v>
      </c>
      <c r="I27" s="40">
        <f t="shared" ref="I27:M27" si="46">+I25-I26</f>
        <v>3059</v>
      </c>
      <c r="J27" s="40">
        <f t="shared" si="46"/>
        <v>3890</v>
      </c>
      <c r="K27" s="40">
        <f t="shared" si="46"/>
        <v>4704</v>
      </c>
      <c r="L27" s="40">
        <f t="shared" si="46"/>
        <v>4266</v>
      </c>
      <c r="M27" s="41">
        <f t="shared" si="46"/>
        <v>15919</v>
      </c>
      <c r="N27" s="40">
        <f t="shared" ref="N27" si="47">+N25-N26</f>
        <v>4987</v>
      </c>
      <c r="O27" s="40">
        <f t="shared" ref="O27" si="48">+O25-O26</f>
        <v>5106</v>
      </c>
      <c r="P27" s="40">
        <f t="shared" ref="P27" si="49">+P25-P26</f>
        <v>5137</v>
      </c>
      <c r="Q27" s="40">
        <f t="shared" ref="Q27" si="50">+Q25-Q26</f>
        <v>6882</v>
      </c>
      <c r="R27" s="41">
        <f t="shared" ref="R27" si="51">+R25-R26</f>
        <v>22112</v>
      </c>
      <c r="S27" s="134">
        <f t="shared" ref="S27" si="52">+S25-S26</f>
        <v>2429</v>
      </c>
      <c r="T27" s="134">
        <f t="shared" ref="T27" si="53">+T25-T26</f>
        <v>2616</v>
      </c>
      <c r="U27" s="40">
        <f t="shared" ref="U27" si="54">+U25-U26</f>
        <v>6091</v>
      </c>
      <c r="V27" s="40">
        <f t="shared" ref="V27" si="55">+V25-V26</f>
        <v>7349</v>
      </c>
      <c r="W27" s="41">
        <f t="shared" ref="W27" si="56">+W25-W26</f>
        <v>18485</v>
      </c>
      <c r="X27" s="40">
        <f t="shared" ref="X27" si="57">+X25-X26</f>
        <v>4902</v>
      </c>
      <c r="Y27" s="40">
        <f t="shared" ref="Y27" si="58">+Y25-Y26</f>
        <v>4295.9072129705992</v>
      </c>
      <c r="Z27" s="40">
        <f t="shared" ref="Z27" si="59">+Z25-Z26</f>
        <v>4163.3231989469987</v>
      </c>
      <c r="AA27" s="40">
        <f t="shared" ref="AA27" si="60">+AA25-AA26</f>
        <v>4659.32872161872</v>
      </c>
      <c r="AB27" s="130">
        <f t="shared" ref="AB27" si="61">+AB25-AB26</f>
        <v>18020.559133536332</v>
      </c>
      <c r="AC27" s="40">
        <f t="shared" ref="AC27" si="62">+AC25-AC26</f>
        <v>3835.2331487717815</v>
      </c>
      <c r="AD27" s="40">
        <f t="shared" ref="AD27" si="63">+AD25-AD26</f>
        <v>4640.6724526755952</v>
      </c>
      <c r="AE27" s="40">
        <f t="shared" ref="AE27" si="64">+AE25-AE26</f>
        <v>5532.5796710230952</v>
      </c>
      <c r="AF27" s="40">
        <f t="shared" ref="AF27" si="65">+AF25-AF26</f>
        <v>6510.5333776401822</v>
      </c>
      <c r="AG27" s="130">
        <f t="shared" ref="AG27" si="66">+AG25-AG26</f>
        <v>20519.018650110673</v>
      </c>
    </row>
    <row r="28" spans="1:33" x14ac:dyDescent="0.3">
      <c r="A28" s="138"/>
      <c r="B28" s="208" t="s">
        <v>0</v>
      </c>
      <c r="C28" s="209"/>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2850.5767040245141</v>
      </c>
      <c r="Z28" s="29">
        <f>Y28*(1+Z78)-Z82</f>
        <v>2850.0378805755095</v>
      </c>
      <c r="AA28" s="29">
        <f>Z28*(1+AA78)-AA82</f>
        <v>2849.4079159471644</v>
      </c>
      <c r="AB28" s="128">
        <f>(X28*X25/AB25)+(Y28*Y25/AB25)+(Z28*Z25/AB25)+(AA28*AA25/AB25)</f>
        <v>2850.2651672342149</v>
      </c>
      <c r="AC28" s="29">
        <f>AA28*(1+AC78)-AC82</f>
        <v>2848.421187769321</v>
      </c>
      <c r="AD28" s="29">
        <f>AC28*(1+AD78)-AD82</f>
        <v>2847.7732814095034</v>
      </c>
      <c r="AE28" s="29">
        <f>AD28*(1+AE78)-AE82</f>
        <v>2847.0692527964129</v>
      </c>
      <c r="AF28" s="29">
        <f>AE28*(1+AF78)-AF82</f>
        <v>2846.3239587448084</v>
      </c>
      <c r="AG28" s="128">
        <f>(AC28*AC25/AG25)+(AD28*AD25/AG25)+(AE28*AE25/AG25)+(AF28*AF25/AG25)</f>
        <v>2847.2446944330695</v>
      </c>
    </row>
    <row r="29" spans="1:33" ht="15.75" customHeight="1" x14ac:dyDescent="0.3">
      <c r="A29" s="138"/>
      <c r="B29" s="208" t="s">
        <v>1</v>
      </c>
      <c r="C29" s="209"/>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2868.5785266195007</v>
      </c>
      <c r="Z29" s="29">
        <f>Y29*(1+Z79)-Z82</f>
        <v>2867.5424433846169</v>
      </c>
      <c r="AA29" s="29">
        <f>Z29*(1+AA79)-AA82</f>
        <v>2866.291129167108</v>
      </c>
      <c r="AB29" s="128">
        <f>(X29*X25/AB25)+(Y29*Y25/AB25)+(Z29*Z25/AB25)+(AA29*AA25/AB25)</f>
        <v>2867.5903650773198</v>
      </c>
      <c r="AC29" s="29">
        <f>AA29*(1+AC79)-AC82</f>
        <v>2863.0325279210824</v>
      </c>
      <c r="AD29" s="29">
        <f>AC29*(1+AD79)-AD82</f>
        <v>2861.7834571223088</v>
      </c>
      <c r="AE29" s="29">
        <f>AD29*(1+AE79)-AE82</f>
        <v>2860.0784118033621</v>
      </c>
      <c r="AF29" s="29">
        <f>AE29*(1+AF79)-AF82</f>
        <v>2858.2065868010436</v>
      </c>
      <c r="AG29" s="128">
        <f>(AC29*AC25/AG25)+(AD29*AD25/AG25)+(AE29*AE25/AG25)+(AF29*AF25/AG25)</f>
        <v>2860.4222733626193</v>
      </c>
    </row>
    <row r="30" spans="1:33" ht="15.75" customHeight="1" x14ac:dyDescent="0.3">
      <c r="A30" s="138"/>
      <c r="B30" s="214" t="s">
        <v>9</v>
      </c>
      <c r="C30" s="215"/>
      <c r="D30" s="43">
        <f t="shared" ref="D30:AG30" si="67">D25/D28</f>
        <v>0.53112908899050304</v>
      </c>
      <c r="E30" s="43">
        <f t="shared" si="67"/>
        <v>0.71953781512605042</v>
      </c>
      <c r="F30" s="43">
        <f t="shared" si="67"/>
        <v>0.82863113897596652</v>
      </c>
      <c r="G30" s="43">
        <f t="shared" si="67"/>
        <v>1.4826509368494101</v>
      </c>
      <c r="H30" s="44">
        <f t="shared" si="67"/>
        <v>3.5680112997384774</v>
      </c>
      <c r="I30" s="43">
        <f t="shared" si="67"/>
        <v>1.0598408855067452</v>
      </c>
      <c r="J30" s="43">
        <f t="shared" si="67"/>
        <v>1.3427586206896551</v>
      </c>
      <c r="K30" s="43">
        <f t="shared" si="67"/>
        <v>1.6208677685950412</v>
      </c>
      <c r="L30" s="43">
        <f t="shared" si="67"/>
        <v>1.4681802545579636</v>
      </c>
      <c r="M30" s="44">
        <f t="shared" si="67"/>
        <v>5.4922440537745603</v>
      </c>
      <c r="N30" s="43">
        <f t="shared" si="67"/>
        <v>1.7164487267721955</v>
      </c>
      <c r="O30" s="43">
        <f t="shared" si="67"/>
        <v>1.7637305699481864</v>
      </c>
      <c r="P30" s="43">
        <f t="shared" si="67"/>
        <v>1.7805892547660311</v>
      </c>
      <c r="Q30" s="43">
        <f t="shared" si="67"/>
        <v>2.3962395543175488</v>
      </c>
      <c r="R30" s="44">
        <f t="shared" si="67"/>
        <v>7.6515570934256054</v>
      </c>
      <c r="S30" s="136">
        <f t="shared" si="67"/>
        <v>0.85049019607843135</v>
      </c>
      <c r="T30" s="136">
        <f t="shared" si="67"/>
        <v>0.91628721541155866</v>
      </c>
      <c r="U30" s="43">
        <f t="shared" si="67"/>
        <v>2.1341976173791171</v>
      </c>
      <c r="V30" s="43">
        <f t="shared" si="67"/>
        <v>2.5749824807288015</v>
      </c>
      <c r="W30" s="44">
        <f t="shared" si="67"/>
        <v>6.4759571094228789</v>
      </c>
      <c r="X30" s="43">
        <f t="shared" si="67"/>
        <v>1.7193967029112591</v>
      </c>
      <c r="Y30" s="43">
        <f t="shared" si="67"/>
        <v>1.5070309130449049</v>
      </c>
      <c r="Z30" s="43">
        <f t="shared" si="67"/>
        <v>1.4607957414609158</v>
      </c>
      <c r="AA30" s="43">
        <f t="shared" si="67"/>
        <v>1.6351918921618931</v>
      </c>
      <c r="AB30" s="132">
        <f t="shared" si="67"/>
        <v>6.3224149600869497</v>
      </c>
      <c r="AC30" s="43">
        <f t="shared" si="67"/>
        <v>1.3464417289267747</v>
      </c>
      <c r="AD30" s="43">
        <f t="shared" si="67"/>
        <v>1.6295793218407815</v>
      </c>
      <c r="AE30" s="43">
        <f t="shared" si="67"/>
        <v>1.9432543362227503</v>
      </c>
      <c r="AF30" s="43">
        <f t="shared" si="67"/>
        <v>2.2873479870897206</v>
      </c>
      <c r="AG30" s="132">
        <f t="shared" si="67"/>
        <v>7.2066228414542106</v>
      </c>
    </row>
    <row r="31" spans="1:33" x14ac:dyDescent="0.3">
      <c r="A31" s="138"/>
      <c r="B31" s="212" t="s">
        <v>10</v>
      </c>
      <c r="C31" s="213"/>
      <c r="D31" s="107">
        <f t="shared" ref="D31:AF31" si="68">D25/D29</f>
        <v>0.52285318559556782</v>
      </c>
      <c r="E31" s="107">
        <f t="shared" si="68"/>
        <v>0.7076446280991735</v>
      </c>
      <c r="F31" s="107">
        <f t="shared" si="68"/>
        <v>0.81612349914236704</v>
      </c>
      <c r="G31" s="107">
        <f t="shared" si="68"/>
        <v>1.4543907420013615</v>
      </c>
      <c r="H31" s="108">
        <f t="shared" si="68"/>
        <v>3.4929914529914532</v>
      </c>
      <c r="I31" s="107">
        <f t="shared" si="68"/>
        <v>1.0407608695652173</v>
      </c>
      <c r="J31" s="107">
        <f t="shared" si="68"/>
        <v>1.3195526940020332</v>
      </c>
      <c r="K31" s="107">
        <f t="shared" si="68"/>
        <v>1.5923545331529094</v>
      </c>
      <c r="L31" s="107">
        <f t="shared" si="68"/>
        <v>1.4448205822613405</v>
      </c>
      <c r="M31" s="108">
        <f t="shared" si="68"/>
        <v>5.3900541271989173</v>
      </c>
      <c r="N31" s="107">
        <f t="shared" si="68"/>
        <v>1.6937181663837011</v>
      </c>
      <c r="O31" s="107">
        <f t="shared" si="68"/>
        <v>1.7426621160409557</v>
      </c>
      <c r="P31" s="107">
        <f t="shared" si="68"/>
        <v>1.7634740817027119</v>
      </c>
      <c r="Q31" s="107">
        <f t="shared" si="68"/>
        <v>2.3846153846153846</v>
      </c>
      <c r="R31" s="108">
        <f t="shared" si="68"/>
        <v>7.5703526189661074</v>
      </c>
      <c r="S31" s="137">
        <f t="shared" si="68"/>
        <v>0.84663645869640991</v>
      </c>
      <c r="T31" s="137">
        <f t="shared" si="68"/>
        <v>0.90991304347826085</v>
      </c>
      <c r="U31" s="137">
        <f t="shared" si="68"/>
        <v>2.1193458594293668</v>
      </c>
      <c r="V31" s="137">
        <f t="shared" si="68"/>
        <v>2.551736111111111</v>
      </c>
      <c r="W31" s="158">
        <f t="shared" si="68"/>
        <v>6.4276203994115555</v>
      </c>
      <c r="X31" s="137">
        <f t="shared" si="68"/>
        <v>1.7092050209205021</v>
      </c>
      <c r="Y31" s="137">
        <f>Y25/Y29</f>
        <v>1.4975735100524319</v>
      </c>
      <c r="Z31" s="137">
        <f t="shared" si="68"/>
        <v>1.4518784921742767</v>
      </c>
      <c r="AA31" s="137">
        <f t="shared" si="68"/>
        <v>1.6255601792176066</v>
      </c>
      <c r="AB31" s="158">
        <f t="shared" si="68"/>
        <v>6.2842166555579277</v>
      </c>
      <c r="AC31" s="137">
        <f t="shared" si="68"/>
        <v>1.3395702323915397</v>
      </c>
      <c r="AD31" s="137">
        <f t="shared" si="68"/>
        <v>1.6216015370156844</v>
      </c>
      <c r="AE31" s="137">
        <f t="shared" si="68"/>
        <v>1.9344153811274858</v>
      </c>
      <c r="AF31" s="137">
        <f t="shared" si="68"/>
        <v>2.277838630596289</v>
      </c>
      <c r="AG31" s="158">
        <f>AG25/AG29</f>
        <v>7.1734229037411259</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200" t="s">
        <v>25</v>
      </c>
      <c r="C33" s="201"/>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202"/>
      <c r="C34" s="203"/>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200" t="s">
        <v>146</v>
      </c>
      <c r="C35" s="201"/>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8385.8365799999992</v>
      </c>
      <c r="Z36" s="64">
        <f>+((Z42+Y42)/2)*Z52</f>
        <v>8597.5532899999962</v>
      </c>
      <c r="AA36" s="64">
        <f>+((AA42+Z42)/2)*AA52</f>
        <v>10331.165568</v>
      </c>
      <c r="AB36" s="19"/>
      <c r="AC36" s="64">
        <f>+((AC42+AA42)/2)*AC52</f>
        <v>8761.6003689999998</v>
      </c>
      <c r="AD36" s="64">
        <f>+((AD42+AC42)/2)*AD52</f>
        <v>10028.85450336</v>
      </c>
      <c r="AE36" s="64">
        <f>+((AE42+AD42)/2)*AE52</f>
        <v>10762.195616399515</v>
      </c>
      <c r="AF36" s="64">
        <f>+((AF42+AE42)/2)*AF52</f>
        <v>12886.528740248878</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4244.7515249999997</v>
      </c>
      <c r="Z37" s="64">
        <f t="shared" ref="Z37:AA37" si="69">+((Z44+Y44)/2)*Z54</f>
        <v>4170.86841</v>
      </c>
      <c r="AA37" s="64">
        <f t="shared" si="69"/>
        <v>5188.8589380000003</v>
      </c>
      <c r="AB37" s="19"/>
      <c r="AC37" s="64">
        <f>+((AC44+AA44)/2)*AC54</f>
        <v>4346.1367600000003</v>
      </c>
      <c r="AD37" s="64">
        <f>+((AD44+AC44)/2)*AD54</f>
        <v>5129.0057390250004</v>
      </c>
      <c r="AE37" s="64">
        <f t="shared" ref="AE37:AF37" si="70">+((AE44+AD44)/2)*AE54</f>
        <v>5243.3592255046342</v>
      </c>
      <c r="AF37" s="64">
        <f t="shared" si="70"/>
        <v>6469.9570461542926</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3200.4238399999999</v>
      </c>
      <c r="Z38" s="64">
        <f t="shared" ref="Z38:AA38" si="71">+((Z46+Y46)/2)*Z56</f>
        <v>3386.5204139999996</v>
      </c>
      <c r="AA38" s="64">
        <f t="shared" si="71"/>
        <v>3773.4832884000002</v>
      </c>
      <c r="AB38" s="19"/>
      <c r="AC38" s="64">
        <f>+((AC46+AA46)/2)*AC56</f>
        <v>3411.4767407999998</v>
      </c>
      <c r="AD38" s="64">
        <f>+((AD46+AC46)/2)*AD56</f>
        <v>4013.7962323199999</v>
      </c>
      <c r="AE38" s="64">
        <f t="shared" ref="AE38:AF38" si="72">+((AE46+AD46)/2)*AE56</f>
        <v>4507.8813042251131</v>
      </c>
      <c r="AF38" s="64">
        <f t="shared" si="72"/>
        <v>5024.3512092397577</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1691.9578320000001</v>
      </c>
      <c r="Z39" s="99">
        <f t="shared" ref="Z39:AA39" si="73">+((Z48+Y48)/2)*Z58</f>
        <v>1780.1884800000003</v>
      </c>
      <c r="AA39" s="99">
        <f t="shared" si="73"/>
        <v>2001.8001752</v>
      </c>
      <c r="AB39" s="19"/>
      <c r="AC39" s="99">
        <f>+((AC48+AA48)/2)*AC58</f>
        <v>1680.658281</v>
      </c>
      <c r="AD39" s="99">
        <f>+((AD48+AC48)/2)*AD58</f>
        <v>2103.1693885440004</v>
      </c>
      <c r="AE39" s="99">
        <f t="shared" ref="AE39:AF39" si="74">+((AE48+AD48)/2)*AE58</f>
        <v>2344.8019249912736</v>
      </c>
      <c r="AF39" s="99">
        <f t="shared" si="74"/>
        <v>2624.4833316175018</v>
      </c>
      <c r="AG39" s="19"/>
    </row>
    <row r="40" spans="1:33" s="92" customFormat="1" outlineLevel="1" x14ac:dyDescent="0.3">
      <c r="A40" s="139"/>
      <c r="B40" s="90" t="s">
        <v>20</v>
      </c>
      <c r="C40" s="72"/>
      <c r="D40" s="100">
        <f>SUM(D36:D39)</f>
        <v>5382</v>
      </c>
      <c r="E40" s="100">
        <f t="shared" ref="E40:G40" si="75">SUM(E36:E39)</f>
        <v>6436</v>
      </c>
      <c r="F40" s="100">
        <f t="shared" si="75"/>
        <v>7011</v>
      </c>
      <c r="G40" s="100">
        <f t="shared" si="75"/>
        <v>8809</v>
      </c>
      <c r="H40" s="91"/>
      <c r="I40" s="100">
        <f>SUM(I36:I39)</f>
        <v>8032</v>
      </c>
      <c r="J40" s="100">
        <f t="shared" ref="J40:L40" si="76">SUM(J36:J39)</f>
        <v>9321</v>
      </c>
      <c r="K40" s="100">
        <f t="shared" si="76"/>
        <v>10328</v>
      </c>
      <c r="L40" s="100">
        <f t="shared" si="76"/>
        <v>12972</v>
      </c>
      <c r="M40" s="91"/>
      <c r="N40" s="100">
        <f>SUM(N36:N39)</f>
        <v>11966</v>
      </c>
      <c r="O40" s="100">
        <f t="shared" ref="O40" si="77">SUM(O36:O39)</f>
        <v>13231</v>
      </c>
      <c r="P40" s="100">
        <f t="shared" ref="P40" si="78">SUM(P36:P39)</f>
        <v>13727</v>
      </c>
      <c r="Q40" s="100">
        <f t="shared" ref="Q40" si="79">SUM(Q36:Q39)</f>
        <v>16914</v>
      </c>
      <c r="R40" s="91"/>
      <c r="S40" s="100">
        <f>SUM(S36:S39)</f>
        <v>15077</v>
      </c>
      <c r="T40" s="100">
        <f>SUM(T36:T39)</f>
        <v>16886</v>
      </c>
      <c r="U40" s="100">
        <f t="shared" ref="U40" si="80">SUM(U36:U39)</f>
        <v>17652</v>
      </c>
      <c r="V40" s="100">
        <f t="shared" ref="V40" si="81">SUM(V36:V39)</f>
        <v>21082</v>
      </c>
      <c r="W40" s="91"/>
      <c r="X40" s="100">
        <f>SUM(X36:X39)</f>
        <v>17737</v>
      </c>
      <c r="Y40" s="100">
        <f>SUM(Y36:Y39)</f>
        <v>17522.969776999998</v>
      </c>
      <c r="Z40" s="100">
        <f t="shared" ref="Z40:AA40" si="82">SUM(Z36:Z39)</f>
        <v>17935.130593999995</v>
      </c>
      <c r="AA40" s="100">
        <f t="shared" si="82"/>
        <v>21295.307969599999</v>
      </c>
      <c r="AB40" s="91"/>
      <c r="AC40" s="100">
        <f>SUM(AC36:AC39)</f>
        <v>18199.872150800002</v>
      </c>
      <c r="AD40" s="100">
        <f>SUM(AD36:AD39)</f>
        <v>21274.825863249</v>
      </c>
      <c r="AE40" s="100">
        <f t="shared" ref="AE40" si="83">SUM(AE36:AE39)</f>
        <v>22858.238071120533</v>
      </c>
      <c r="AF40" s="100">
        <f>SUM(AF36:AF39)</f>
        <v>27005.32032726043</v>
      </c>
      <c r="AG40" s="91"/>
    </row>
    <row r="41" spans="1:33" ht="17.399999999999999" x14ac:dyDescent="0.45">
      <c r="A41" s="138"/>
      <c r="B41" s="217" t="s">
        <v>86</v>
      </c>
      <c r="C41" s="218"/>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T42*(1+Y43)</f>
        <v>256.2</v>
      </c>
      <c r="Z42" s="29">
        <f t="shared" ref="Z42" si="84">U42*(1+Z43)</f>
        <v>256.88</v>
      </c>
      <c r="AA42" s="29">
        <f t="shared" ref="AA42" si="85">V42*(1+AA43)</f>
        <v>262.88</v>
      </c>
      <c r="AB42" s="19"/>
      <c r="AC42" s="29">
        <f>X42*(1+AC43)</f>
        <v>265.65000000000003</v>
      </c>
      <c r="AD42" s="29">
        <f t="shared" ref="AD42" si="86">Y42*(1+AD43)</f>
        <v>263.88599999999997</v>
      </c>
      <c r="AE42" s="29">
        <f t="shared" ref="AE42" si="87">Z42*(1+AE43)</f>
        <v>262.71818181818179</v>
      </c>
      <c r="AF42" s="29">
        <f t="shared" ref="AF42" si="88">AA42*(1+AF43)</f>
        <v>268.85454545454542</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0.05</v>
      </c>
      <c r="Z43" s="59">
        <v>0.04</v>
      </c>
      <c r="AA43" s="59">
        <v>0.06</v>
      </c>
      <c r="AB43" s="19"/>
      <c r="AC43" s="59">
        <v>0.05</v>
      </c>
      <c r="AD43" s="59">
        <v>0.03</v>
      </c>
      <c r="AE43" s="59">
        <f>AVERAGE($U$43:$V$43)</f>
        <v>2.2727272727272707E-2</v>
      </c>
      <c r="AF43" s="59">
        <f>AVERAGE($U$43:$V$43)</f>
        <v>2.2727272727272707E-2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411.95000000000005</v>
      </c>
      <c r="Z44" s="29">
        <f t="shared" ref="Z44" si="90">U44*(1+Z45)</f>
        <v>410.22</v>
      </c>
      <c r="AA44" s="29">
        <f t="shared" ref="AA44" si="91">V44*(1+AA45)</f>
        <v>425.52000000000004</v>
      </c>
      <c r="AB44" s="19"/>
      <c r="AC44" s="29">
        <f>X44*(1+AC45)</f>
        <v>434.42</v>
      </c>
      <c r="AD44" s="29">
        <f t="shared" ref="AD44" si="92">Y44*(1+AD45)</f>
        <v>432.54750000000007</v>
      </c>
      <c r="AE44" s="29">
        <f t="shared" ref="AE44" si="93">Z44*(1+AE45)</f>
        <v>423.78202393700798</v>
      </c>
      <c r="AF44" s="29">
        <f t="shared" ref="AF44" si="94">AA44*(1+AF45)</f>
        <v>439.58784755905521</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7.0000000000000007E-2</v>
      </c>
      <c r="Z45" s="59">
        <v>0.06</v>
      </c>
      <c r="AA45" s="59">
        <v>0.08</v>
      </c>
      <c r="AB45" s="19"/>
      <c r="AC45" s="59">
        <v>7.0000000000000007E-2</v>
      </c>
      <c r="AD45" s="59">
        <v>0.05</v>
      </c>
      <c r="AE45" s="59">
        <f>AVERAGE($U$45:$V$45)</f>
        <v>3.3060367454068262E-2</v>
      </c>
      <c r="AF45" s="59">
        <f>AVERAGE($U$45:$V$45)</f>
        <v>3.3060367454068262E-2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1123.3600000000001</v>
      </c>
      <c r="Z46" s="29">
        <f t="shared" ref="Z46" si="96">U46*(1+Z47)</f>
        <v>1124.43</v>
      </c>
      <c r="AA46" s="29">
        <f t="shared" ref="AA46" si="97">V46*(1+AA47)</f>
        <v>1173.3920000000001</v>
      </c>
      <c r="AB46" s="22"/>
      <c r="AC46" s="29">
        <f>X46*(1+AC47)</f>
        <v>1224.1600000000001</v>
      </c>
      <c r="AD46" s="29">
        <f t="shared" ref="AD46" si="98">Y46*(1+AD47)</f>
        <v>1235.6960000000001</v>
      </c>
      <c r="AE46" s="29">
        <f t="shared" ref="AE46" si="99">Z46*(1+AE47)</f>
        <v>1237.5501966457816</v>
      </c>
      <c r="AF46" s="29">
        <f t="shared" ref="AF46" si="100">AA46*(1+AF47)</f>
        <v>1291.4378843881673</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0.12</v>
      </c>
      <c r="Z47" s="59">
        <v>0.11</v>
      </c>
      <c r="AA47" s="59">
        <v>0.13</v>
      </c>
      <c r="AB47" s="19"/>
      <c r="AC47" s="59">
        <v>0.12</v>
      </c>
      <c r="AD47" s="59">
        <v>0.1</v>
      </c>
      <c r="AE47" s="59">
        <f>AVERAGE($U$47:$V$47)</f>
        <v>0.1006022577179384</v>
      </c>
      <c r="AF47" s="59">
        <f>AVERAGE($U$47:$V$47)</f>
        <v>0.1006022577179384</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T48*(1+Y49)</f>
        <v>875.84</v>
      </c>
      <c r="Z48" s="29">
        <f t="shared" ref="Z48" si="101">U48*(1+Z49)</f>
        <v>890.22</v>
      </c>
      <c r="AA48" s="29">
        <f t="shared" ref="AA48" si="102">V48*(1+AA49)</f>
        <v>923.66199999999992</v>
      </c>
      <c r="AB48" s="19"/>
      <c r="AC48" s="29">
        <f>X48*(1+AC49)</f>
        <v>953.12000000000012</v>
      </c>
      <c r="AD48" s="29">
        <f t="shared" ref="AD48" si="103">Y48*(1+AD49)</f>
        <v>963.42400000000009</v>
      </c>
      <c r="AE48" s="29">
        <f t="shared" ref="AE48" si="104">Z48*(1+AE49)</f>
        <v>970.1353074347827</v>
      </c>
      <c r="AF48" s="29">
        <f>AA48*(1+AF49)</f>
        <v>1006.5794054681159</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0.12</v>
      </c>
      <c r="Z49" s="59">
        <v>0.11</v>
      </c>
      <c r="AA49" s="59">
        <v>0.13</v>
      </c>
      <c r="AB49" s="19"/>
      <c r="AC49" s="59">
        <v>0.12</v>
      </c>
      <c r="AD49" s="59">
        <v>0.1</v>
      </c>
      <c r="AE49" s="59">
        <f>AVERAGE($U$49:$V$49)</f>
        <v>8.9770289855072405E-2</v>
      </c>
      <c r="AF49" s="59">
        <f>AVERAGE($U$49:$V$49)</f>
        <v>8.9770289855072405E-2</v>
      </c>
      <c r="AG49" s="19"/>
    </row>
    <row r="50" spans="1:33" s="21" customFormat="1" outlineLevel="1" x14ac:dyDescent="0.3">
      <c r="A50" s="141"/>
      <c r="B50" s="78" t="s">
        <v>81</v>
      </c>
      <c r="C50" s="36"/>
      <c r="D50" s="40">
        <f>+D42+D44+D46+D48</f>
        <v>1654</v>
      </c>
      <c r="E50" s="40">
        <f t="shared" ref="E50:G50" si="105">+E42+E44+E46+E48</f>
        <v>1712</v>
      </c>
      <c r="F50" s="40">
        <f t="shared" si="105"/>
        <v>1787</v>
      </c>
      <c r="G50" s="40">
        <f t="shared" si="105"/>
        <v>1859.8000000000002</v>
      </c>
      <c r="H50" s="95"/>
      <c r="I50" s="40">
        <f>+I42+I44+I46+I48</f>
        <v>1936</v>
      </c>
      <c r="J50" s="40">
        <f t="shared" ref="J50:L50" si="106">+J42+J44+J46+J48</f>
        <v>2006</v>
      </c>
      <c r="K50" s="40">
        <f t="shared" si="106"/>
        <v>2072</v>
      </c>
      <c r="L50" s="40">
        <f t="shared" si="106"/>
        <v>2129</v>
      </c>
      <c r="M50" s="95"/>
      <c r="N50" s="40">
        <f>+N42+N44+N46+N48</f>
        <v>2196</v>
      </c>
      <c r="O50" s="40">
        <f t="shared" ref="O50:Q50" si="107">+O42+O44+O46+O48</f>
        <v>2234</v>
      </c>
      <c r="P50" s="40">
        <f t="shared" si="107"/>
        <v>2270</v>
      </c>
      <c r="Q50" s="40">
        <f t="shared" si="107"/>
        <v>2320</v>
      </c>
      <c r="R50" s="95"/>
      <c r="S50" s="40">
        <f>+S42+S44+S46+S48</f>
        <v>2376</v>
      </c>
      <c r="T50" s="40">
        <f t="shared" ref="T50:V50" si="108">+T42+T44+T46+T48</f>
        <v>2414</v>
      </c>
      <c r="U50" s="40">
        <f t="shared" si="108"/>
        <v>2449</v>
      </c>
      <c r="V50" s="40">
        <f t="shared" si="108"/>
        <v>2497.8000000000002</v>
      </c>
      <c r="W50" s="96"/>
      <c r="X50" s="40">
        <f>+X42+X44+X46+X48</f>
        <v>2603</v>
      </c>
      <c r="Y50" s="40">
        <f t="shared" ref="Y50:AA50" si="109">+Y42+Y44+Y46+Y48</f>
        <v>2667.3500000000004</v>
      </c>
      <c r="Z50" s="40">
        <f t="shared" si="109"/>
        <v>2681.75</v>
      </c>
      <c r="AA50" s="40">
        <f t="shared" si="109"/>
        <v>2785.4540000000002</v>
      </c>
      <c r="AB50" s="95"/>
      <c r="AC50" s="40">
        <f>+AC42+AC44+AC46+AC48</f>
        <v>2877.3500000000004</v>
      </c>
      <c r="AD50" s="40">
        <f t="shared" ref="AD50:AF50" si="110">+AD42+AD44+AD46+AD48</f>
        <v>2895.5535000000004</v>
      </c>
      <c r="AE50" s="40">
        <f t="shared" si="110"/>
        <v>2894.1857098357541</v>
      </c>
      <c r="AF50" s="40">
        <f t="shared" si="110"/>
        <v>3006.4596828698836</v>
      </c>
      <c r="AG50" s="95"/>
    </row>
    <row r="51" spans="1:33" ht="17.399999999999999" x14ac:dyDescent="0.45">
      <c r="A51" s="138"/>
      <c r="B51" s="200" t="s">
        <v>87</v>
      </c>
      <c r="C51" s="201"/>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T52*(1+Y53)</f>
        <v>32.9373</v>
      </c>
      <c r="Z52" s="45">
        <f t="shared" ref="Z52" si="111">U52*(1+Z53)</f>
        <v>33.513499999999993</v>
      </c>
      <c r="AA52" s="45">
        <f t="shared" ref="AA52" si="112">V52*(1+AA53)</f>
        <v>39.753599999999999</v>
      </c>
      <c r="AB52" s="19"/>
      <c r="AC52" s="45">
        <f>X52*(1+AC53)</f>
        <v>33.154600000000002</v>
      </c>
      <c r="AD52" s="45">
        <f t="shared" ref="AD52" si="113">Y52*(1+AD53)</f>
        <v>37.877894999999995</v>
      </c>
      <c r="AE52" s="45">
        <f t="shared" ref="AE52" si="114">Z52*(1+AE53)</f>
        <v>40.87394664904248</v>
      </c>
      <c r="AF52" s="45">
        <f t="shared" ref="AF52" si="115">AA52*(1+AF53)</f>
        <v>48.484536843581708</v>
      </c>
      <c r="AG52" s="19"/>
    </row>
    <row r="53" spans="1:33" ht="15.6" outlineLevel="1" x14ac:dyDescent="0.3">
      <c r="A53" s="138"/>
      <c r="B53" s="47" t="s">
        <v>142</v>
      </c>
      <c r="C53" s="48"/>
      <c r="D53" s="45"/>
      <c r="E53" s="45"/>
      <c r="F53" s="45"/>
      <c r="G53" s="45"/>
      <c r="H53" s="19"/>
      <c r="I53" s="55">
        <f>+I52/D52-1</f>
        <v>0.373698905109489</v>
      </c>
      <c r="J53" s="55">
        <f t="shared" ref="J53:L53" si="116">+J52/E52-1</f>
        <v>0.35153175591531749</v>
      </c>
      <c r="K53" s="55">
        <f t="shared" si="116"/>
        <v>0.35477528089887644</v>
      </c>
      <c r="L53" s="55">
        <f t="shared" si="116"/>
        <v>0.35092186128182612</v>
      </c>
      <c r="M53" s="19"/>
      <c r="N53" s="55">
        <f>+N52/I52-1</f>
        <v>0.38195664909197413</v>
      </c>
      <c r="O53" s="55">
        <f t="shared" ref="O53" si="117">+O52/J52-1</f>
        <v>0.33694530443756454</v>
      </c>
      <c r="P53" s="55">
        <f t="shared" ref="P53" si="118">+P52/K52-1</f>
        <v>0.3023584905660377</v>
      </c>
      <c r="Q53" s="55">
        <f t="shared" ref="Q53" si="119">+Q52/L52-1</f>
        <v>0.30269058295964113</v>
      </c>
      <c r="R53" s="19"/>
      <c r="S53" s="140">
        <f>+S52/N52-1</f>
        <v>0.27681220856295052</v>
      </c>
      <c r="T53" s="55">
        <f t="shared" ref="T53:V53" si="120">+T52/O52-1</f>
        <v>0.28406020841374002</v>
      </c>
      <c r="U53" s="55">
        <f t="shared" si="120"/>
        <v>0.25135820354943861</v>
      </c>
      <c r="V53" s="55">
        <f t="shared" si="120"/>
        <v>0.18789443488238655</v>
      </c>
      <c r="W53" s="19"/>
      <c r="X53" s="140">
        <f>+X52/S52-1</f>
        <v>0.13479415670650718</v>
      </c>
      <c r="Y53" s="59">
        <v>-0.01</v>
      </c>
      <c r="Z53" s="59">
        <v>-0.03</v>
      </c>
      <c r="AA53" s="59">
        <v>-0.04</v>
      </c>
      <c r="AB53" s="19"/>
      <c r="AC53" s="59">
        <v>-0.03</v>
      </c>
      <c r="AD53" s="59">
        <v>0.15</v>
      </c>
      <c r="AE53" s="59">
        <f>AVERAGE($U$53:$V$53)</f>
        <v>0.21962631921591258</v>
      </c>
      <c r="AF53" s="59">
        <f>AVERAGE($U$53:$V$53)</f>
        <v>0.21962631921591258</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1">T54*(1+Y55)</f>
        <v>10.379</v>
      </c>
      <c r="Z54" s="45">
        <f t="shared" ref="Z54" si="122">U54*(1+Z55)</f>
        <v>10.145999999999999</v>
      </c>
      <c r="AA54" s="45">
        <f>V54*(1+AA55)</f>
        <v>12.417400000000001</v>
      </c>
      <c r="AB54" s="19"/>
      <c r="AC54" s="45">
        <f>X54*(1+AC55)</f>
        <v>10.108000000000001</v>
      </c>
      <c r="AD54" s="45">
        <f>Y54*(1+AD55)</f>
        <v>11.83206</v>
      </c>
      <c r="AE54" s="45">
        <f>Z54*(1+AE55)</f>
        <v>12.246125069700009</v>
      </c>
      <c r="AF54" s="45">
        <f t="shared" ref="AF54" si="123">AA54*(1+AF55)</f>
        <v>14.987683169770639</v>
      </c>
      <c r="AG54" s="19"/>
    </row>
    <row r="55" spans="1:33" outlineLevel="1" x14ac:dyDescent="0.3">
      <c r="A55" s="138"/>
      <c r="B55" s="47" t="s">
        <v>145</v>
      </c>
      <c r="C55" s="71"/>
      <c r="D55" s="45"/>
      <c r="E55" s="45"/>
      <c r="F55" s="45"/>
      <c r="G55" s="45"/>
      <c r="H55" s="19"/>
      <c r="I55" s="55">
        <f>+I54/D54-1</f>
        <v>0.36018362662586068</v>
      </c>
      <c r="J55" s="55">
        <f t="shared" ref="J55" si="124">+J54/E54-1</f>
        <v>0.32929968454258685</v>
      </c>
      <c r="K55" s="55">
        <f t="shared" ref="K55" si="125">+K54/F54-1</f>
        <v>0.45109034267912751</v>
      </c>
      <c r="L55" s="55">
        <f t="shared" ref="L55" si="126">+L54/G54-1</f>
        <v>0.48238740920096834</v>
      </c>
      <c r="M55" s="19"/>
      <c r="N55" s="55">
        <f>+N54/I54-1</f>
        <v>0.49815498154981541</v>
      </c>
      <c r="O55" s="55">
        <f t="shared" ref="O55" si="127">+O54/J54-1</f>
        <v>0.39490445859872603</v>
      </c>
      <c r="P55" s="55">
        <f t="shared" ref="P55" si="128">+P54/K54-1</f>
        <v>0.28759124087591248</v>
      </c>
      <c r="Q55" s="55">
        <f t="shared" ref="Q55" si="129">+Q54/L54-1</f>
        <v>0.23927765237020338</v>
      </c>
      <c r="R55" s="19"/>
      <c r="S55" s="140">
        <f>+S54/N54-1</f>
        <v>0.17610837438423665</v>
      </c>
      <c r="T55" s="55">
        <f t="shared" ref="T55:V55" si="130">+T54/O54-1</f>
        <v>0.22146118721461172</v>
      </c>
      <c r="U55" s="55">
        <f t="shared" si="130"/>
        <v>0.21088435374149661</v>
      </c>
      <c r="V55" s="55">
        <f t="shared" si="130"/>
        <v>0.2030965391621129</v>
      </c>
      <c r="W55" s="19"/>
      <c r="X55" s="140">
        <f>+X54/S54-1</f>
        <v>0.11413612565445019</v>
      </c>
      <c r="Y55" s="59">
        <v>-0.03</v>
      </c>
      <c r="Z55" s="59">
        <v>-0.05</v>
      </c>
      <c r="AA55" s="59">
        <v>-0.06</v>
      </c>
      <c r="AB55" s="19"/>
      <c r="AC55" s="59">
        <v>-0.05</v>
      </c>
      <c r="AD55" s="59">
        <v>0.14000000000000001</v>
      </c>
      <c r="AE55" s="59">
        <f>AVERAGE($U$55:$V$55)</f>
        <v>0.20699044645180475</v>
      </c>
      <c r="AF55" s="185">
        <f>AVERAGE($U$55:$V$55)</f>
        <v>0.20699044645180475</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1">T56*(1+Y57)</f>
        <v>2.8879999999999999</v>
      </c>
      <c r="Z56" s="45">
        <f t="shared" ref="Z56" si="132">U56*(1+Z57)</f>
        <v>3.0131999999999999</v>
      </c>
      <c r="AA56" s="45">
        <f t="shared" ref="AA56" si="133">V56*(1+AA57)</f>
        <v>3.2844000000000002</v>
      </c>
      <c r="AB56" s="19"/>
      <c r="AC56" s="45">
        <f>X56*(1+AC57)</f>
        <v>2.8457999999999997</v>
      </c>
      <c r="AD56" s="45">
        <f t="shared" ref="AD56" si="134">Y56*(1+AD57)</f>
        <v>3.2634399999999997</v>
      </c>
      <c r="AE56" s="45">
        <f>Z56*(1+AE57)</f>
        <v>3.645315464621925</v>
      </c>
      <c r="AF56" s="45">
        <f t="shared" ref="AF56" si="135">AA56*(1+AF57)</f>
        <v>3.9734083738232617</v>
      </c>
      <c r="AG56" s="19"/>
    </row>
    <row r="57" spans="1:33" outlineLevel="1" x14ac:dyDescent="0.3">
      <c r="A57" s="138"/>
      <c r="B57" s="47" t="s">
        <v>144</v>
      </c>
      <c r="C57" s="71"/>
      <c r="D57" s="45"/>
      <c r="E57" s="45"/>
      <c r="F57" s="45"/>
      <c r="G57" s="45"/>
      <c r="H57" s="19"/>
      <c r="I57" s="55">
        <f>+I56/D56-1</f>
        <v>0.27023201856148504</v>
      </c>
      <c r="J57" s="55">
        <f t="shared" ref="J57" si="136">+J56/E56-1</f>
        <v>0.20319024390243889</v>
      </c>
      <c r="K57" s="55">
        <f t="shared" ref="K57" si="137">+K56/F56-1</f>
        <v>0.20089688041594456</v>
      </c>
      <c r="L57" s="55">
        <f t="shared" ref="L57" si="138">+L56/G56-1</f>
        <v>0.22612898443291329</v>
      </c>
      <c r="M57" s="19"/>
      <c r="N57" s="55">
        <f>+N56/I56-1</f>
        <v>0.24242424242424243</v>
      </c>
      <c r="O57" s="55">
        <f t="shared" ref="O57" si="139">+O56/J56-1</f>
        <v>0.23004694835680772</v>
      </c>
      <c r="P57" s="55">
        <f t="shared" ref="P57" si="140">+P56/K56-1</f>
        <v>0.17621145374449343</v>
      </c>
      <c r="Q57" s="55">
        <f t="shared" ref="Q57" si="141">+Q56/L56-1</f>
        <v>0.16535433070866135</v>
      </c>
      <c r="R57" s="19"/>
      <c r="S57" s="140">
        <f>+S56/N56-1</f>
        <v>0.13008130081300817</v>
      </c>
      <c r="T57" s="55">
        <f t="shared" ref="T57:V57" si="142">+T56/O56-1</f>
        <v>0.16030534351145032</v>
      </c>
      <c r="U57" s="55">
        <f t="shared" si="142"/>
        <v>0.21348314606741581</v>
      </c>
      <c r="V57" s="55">
        <f t="shared" si="142"/>
        <v>0.20608108108108114</v>
      </c>
      <c r="W57" s="22"/>
      <c r="X57" s="140">
        <f>+X56/S56-1</f>
        <v>0.10071942446043169</v>
      </c>
      <c r="Y57" s="59">
        <v>-0.05</v>
      </c>
      <c r="Z57" s="59">
        <v>-7.0000000000000007E-2</v>
      </c>
      <c r="AA57" s="59">
        <v>-0.08</v>
      </c>
      <c r="AB57" s="19"/>
      <c r="AC57" s="59">
        <v>-7.0000000000000007E-2</v>
      </c>
      <c r="AD57" s="59">
        <v>0.13</v>
      </c>
      <c r="AE57" s="59">
        <f>AVERAGE($U$57:$V$57)</f>
        <v>0.20978211357424847</v>
      </c>
      <c r="AF57" s="59">
        <f>AVERAGE($U$57:$V$57)</f>
        <v>0.20978211357424847</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43">T58*(1+Y59)</f>
        <v>1.9596</v>
      </c>
      <c r="Z58" s="45">
        <f t="shared" ref="Z58" si="144">U58*(1+Z59)</f>
        <v>2.0160000000000005</v>
      </c>
      <c r="AA58" s="45">
        <f t="shared" ref="AA58" si="145">V58*(1+AA59)</f>
        <v>2.2071999999999998</v>
      </c>
      <c r="AB58" s="19"/>
      <c r="AC58" s="45">
        <f>X58*(1+AC59)</f>
        <v>1.7909999999999999</v>
      </c>
      <c r="AD58" s="45">
        <f t="shared" ref="AD58" si="146">Y58*(1+AD59)</f>
        <v>2.1947520000000003</v>
      </c>
      <c r="AE58" s="45">
        <f t="shared" ref="AE58" si="147">Z58*(1+AE59)</f>
        <v>2.4253736784542479</v>
      </c>
      <c r="AF58" s="45">
        <f t="shared" ref="AF58" si="148">AA58*(1+AF59)</f>
        <v>2.6553991979584395</v>
      </c>
      <c r="AG58" s="19"/>
    </row>
    <row r="59" spans="1:33" ht="16.2" outlineLevel="1" x14ac:dyDescent="0.45">
      <c r="A59" s="138"/>
      <c r="B59" s="47" t="s">
        <v>143</v>
      </c>
      <c r="C59" s="71"/>
      <c r="D59" s="97"/>
      <c r="E59" s="97"/>
      <c r="F59" s="97"/>
      <c r="G59" s="97"/>
      <c r="H59" s="98"/>
      <c r="I59" s="55">
        <f>+I58/D58-1</f>
        <v>0.39887949260042288</v>
      </c>
      <c r="J59" s="55">
        <f t="shared" ref="J59" si="149">+J58/E58-1</f>
        <v>0.3124755700325732</v>
      </c>
      <c r="K59" s="55">
        <f t="shared" ref="K59" si="150">+K58/F58-1</f>
        <v>0.31312861271676296</v>
      </c>
      <c r="L59" s="55">
        <f t="shared" ref="L59" si="151">+L58/G58-1</f>
        <v>0.32283909415971412</v>
      </c>
      <c r="M59" s="98"/>
      <c r="N59" s="55">
        <f>+N58/I58-1</f>
        <v>0.32283464566929121</v>
      </c>
      <c r="O59" s="55">
        <f t="shared" ref="O59" si="152">+O58/J58-1</f>
        <v>0.29054054054054057</v>
      </c>
      <c r="P59" s="55">
        <f t="shared" ref="P59" si="153">+P58/K58-1</f>
        <v>0.14465408805031443</v>
      </c>
      <c r="Q59" s="55">
        <f t="shared" ref="Q59" si="154">+Q58/L58-1</f>
        <v>0.13440860215053752</v>
      </c>
      <c r="R59" s="98"/>
      <c r="S59" s="140">
        <f>+S58/N58-1</f>
        <v>0.125</v>
      </c>
      <c r="T59" s="55">
        <f t="shared" ref="T59:V59" si="155">+T58/O58-1</f>
        <v>0.11518324607329844</v>
      </c>
      <c r="U59" s="55">
        <f t="shared" si="155"/>
        <v>0.23076923076923084</v>
      </c>
      <c r="V59" s="55">
        <f t="shared" si="155"/>
        <v>0.17535545023696697</v>
      </c>
      <c r="W59" s="98"/>
      <c r="X59" s="140">
        <f>+X58/S58-1</f>
        <v>5.2910052910053018E-2</v>
      </c>
      <c r="Y59" s="59">
        <v>-0.08</v>
      </c>
      <c r="Z59" s="59">
        <v>-0.1</v>
      </c>
      <c r="AA59" s="59">
        <v>-0.11</v>
      </c>
      <c r="AB59" s="19"/>
      <c r="AC59" s="59">
        <v>-0.1</v>
      </c>
      <c r="AD59" s="59">
        <v>0.12</v>
      </c>
      <c r="AE59" s="59">
        <f>AVERAGE($U$59:$V$59)</f>
        <v>0.2030623405030989</v>
      </c>
      <c r="AF59" s="59">
        <f>AVERAGE($U$59:$V$59)</f>
        <v>0.2030623405030989</v>
      </c>
      <c r="AG59" s="19"/>
    </row>
    <row r="60" spans="1:33" outlineLevel="1" x14ac:dyDescent="0.3">
      <c r="A60" s="138"/>
      <c r="B60" s="78" t="s">
        <v>90</v>
      </c>
      <c r="C60" s="71"/>
      <c r="D60" s="43"/>
      <c r="E60" s="43">
        <f>+E40/((D50+E50)/2)</f>
        <v>3.8241235888294711</v>
      </c>
      <c r="F60" s="43">
        <f t="shared" ref="F60:G60" si="156">+F40/((E50+F50)/2)</f>
        <v>4.007430694484138</v>
      </c>
      <c r="G60" s="43">
        <f t="shared" si="156"/>
        <v>4.831084786662279</v>
      </c>
      <c r="H60" s="19"/>
      <c r="I60" s="43">
        <f>+I40/((G50+I50)/2)</f>
        <v>4.2320459455187311</v>
      </c>
      <c r="J60" s="43">
        <f>+J40/((I50+J50)/2)</f>
        <v>4.7290715372907153</v>
      </c>
      <c r="K60" s="43">
        <f t="shared" ref="K60:L60" si="157">+K40/((J50+K50)/2)</f>
        <v>5.0652280529671412</v>
      </c>
      <c r="L60" s="43">
        <f t="shared" si="157"/>
        <v>6.1756724589383483</v>
      </c>
      <c r="M60" s="19"/>
      <c r="N60" s="43">
        <f>+N40/((L50+N50)/2)</f>
        <v>5.5334104046242771</v>
      </c>
      <c r="O60" s="43">
        <f>+O40/((N50+O50)/2)</f>
        <v>5.9733634311512418</v>
      </c>
      <c r="P60" s="43">
        <f t="shared" ref="P60:Q60" si="158">+P40/((O50+P50)/2)</f>
        <v>6.0954706927175843</v>
      </c>
      <c r="Q60" s="43">
        <f t="shared" si="158"/>
        <v>7.3699346405228754</v>
      </c>
      <c r="R60" s="19"/>
      <c r="S60" s="136">
        <f>+S40/((Q50+S50)/2)</f>
        <v>6.4212095400340718</v>
      </c>
      <c r="T60" s="43">
        <f>+T40/((S50+T50)/2)</f>
        <v>7.0505219206680581</v>
      </c>
      <c r="U60" s="43">
        <f t="shared" ref="U60:V60" si="159">+U40/((T50+U50)/2)</f>
        <v>7.2597162245527453</v>
      </c>
      <c r="V60" s="43">
        <f t="shared" si="159"/>
        <v>8.5234899328859051</v>
      </c>
      <c r="W60" s="19"/>
      <c r="X60" s="43">
        <f>+X40/((V50+X50)/2)</f>
        <v>6.954595357590966</v>
      </c>
      <c r="Y60" s="43">
        <f>+Y40/((X50+Y50)/2)</f>
        <v>6.6496417797679461</v>
      </c>
      <c r="Z60" s="43">
        <f t="shared" ref="Z60:AA60" si="160">+Z40/((Y50+Z50)/2)</f>
        <v>6.7058498042661361</v>
      </c>
      <c r="AA60" s="43">
        <f t="shared" si="160"/>
        <v>7.7902006106229074</v>
      </c>
      <c r="AB60" s="19"/>
      <c r="AC60" s="43">
        <f>+AC40/((AA50+AC50)/2)</f>
        <v>6.4278658243513291</v>
      </c>
      <c r="AD60" s="43">
        <f>+AD40/((AC50+AD50)/2)</f>
        <v>7.3705808050486201</v>
      </c>
      <c r="AE60" s="43">
        <f t="shared" ref="AE60:AF60" si="161">+AE40/((AD50+AE50)/2)</f>
        <v>7.8961200989116698</v>
      </c>
      <c r="AF60" s="43">
        <f t="shared" si="161"/>
        <v>9.1533446021495681</v>
      </c>
      <c r="AG60" s="19"/>
    </row>
    <row r="61" spans="1:33" ht="17.399999999999999" x14ac:dyDescent="0.45">
      <c r="A61" s="138"/>
      <c r="B61" s="200" t="s">
        <v>26</v>
      </c>
      <c r="C61" s="201"/>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6" customHeight="1" outlineLevel="1" x14ac:dyDescent="0.3">
      <c r="A62" s="143"/>
      <c r="B62" s="70" t="s">
        <v>19</v>
      </c>
      <c r="C62" s="48"/>
      <c r="D62" s="45">
        <f>+D40-D13</f>
        <v>0</v>
      </c>
      <c r="E62" s="45">
        <f t="shared" ref="E62:G62" si="162">+E40-E13</f>
        <v>0</v>
      </c>
      <c r="F62" s="45">
        <f t="shared" si="162"/>
        <v>0</v>
      </c>
      <c r="G62" s="45">
        <f t="shared" si="162"/>
        <v>0</v>
      </c>
      <c r="H62" s="19"/>
      <c r="I62" s="45">
        <f>+I40-I13</f>
        <v>0</v>
      </c>
      <c r="J62" s="45">
        <f t="shared" ref="J62:L62" si="163">+J40-J13</f>
        <v>0</v>
      </c>
      <c r="K62" s="45">
        <f t="shared" si="163"/>
        <v>0</v>
      </c>
      <c r="L62" s="45">
        <f t="shared" si="163"/>
        <v>0</v>
      </c>
      <c r="M62" s="19"/>
      <c r="N62" s="45">
        <f>+N40-N13</f>
        <v>0</v>
      </c>
      <c r="O62" s="45">
        <f t="shared" ref="O62:Q62" si="164">+O40-O13</f>
        <v>0</v>
      </c>
      <c r="P62" s="45">
        <f t="shared" si="164"/>
        <v>0</v>
      </c>
      <c r="Q62" s="45">
        <f t="shared" si="164"/>
        <v>0</v>
      </c>
      <c r="R62" s="19"/>
      <c r="S62" s="45">
        <f>+S40-S13</f>
        <v>0</v>
      </c>
      <c r="T62" s="45">
        <f t="shared" ref="T62:V62" si="165">+T40-T13</f>
        <v>0</v>
      </c>
      <c r="U62" s="45">
        <f t="shared" si="165"/>
        <v>0</v>
      </c>
      <c r="V62" s="45">
        <f t="shared" si="165"/>
        <v>0</v>
      </c>
      <c r="W62" s="19"/>
      <c r="X62" s="45">
        <f>+X40-X13</f>
        <v>0</v>
      </c>
      <c r="Y62" s="45">
        <f t="shared" ref="Y62:AA62" si="166">+Y40-Y13</f>
        <v>0</v>
      </c>
      <c r="Z62" s="45">
        <f t="shared" si="166"/>
        <v>0</v>
      </c>
      <c r="AA62" s="45">
        <f t="shared" si="166"/>
        <v>0</v>
      </c>
      <c r="AB62" s="19"/>
      <c r="AC62" s="45">
        <f>+AC40-AC13</f>
        <v>0</v>
      </c>
      <c r="AD62" s="45">
        <f t="shared" ref="AD62:AF62" si="167">+AD40-AD13</f>
        <v>0</v>
      </c>
      <c r="AE62" s="45">
        <f t="shared" si="167"/>
        <v>0</v>
      </c>
      <c r="AF62" s="45">
        <f t="shared" si="167"/>
        <v>0</v>
      </c>
      <c r="AG62" s="19"/>
    </row>
    <row r="63" spans="1:33" ht="15" customHeight="1" x14ac:dyDescent="0.45">
      <c r="A63" s="138"/>
      <c r="B63" s="200" t="s">
        <v>16</v>
      </c>
      <c r="C63" s="201"/>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208" t="s">
        <v>101</v>
      </c>
      <c r="C64" s="209"/>
      <c r="D64" s="55"/>
      <c r="E64" s="55"/>
      <c r="F64" s="55"/>
      <c r="G64" s="55"/>
      <c r="H64" s="53"/>
      <c r="I64" s="55">
        <f t="shared" ref="I64:AG64" si="168">I13/D13-1</f>
        <v>0.49238201412114457</v>
      </c>
      <c r="J64" s="55">
        <f t="shared" si="168"/>
        <v>0.44825978868862637</v>
      </c>
      <c r="K64" s="55">
        <f t="shared" si="168"/>
        <v>0.47311367850520614</v>
      </c>
      <c r="L64" s="55">
        <f t="shared" si="168"/>
        <v>0.47258485639686687</v>
      </c>
      <c r="M64" s="53">
        <f t="shared" si="168"/>
        <v>0.47090961719371882</v>
      </c>
      <c r="N64" s="55">
        <f t="shared" si="168"/>
        <v>0.48979083665338652</v>
      </c>
      <c r="O64" s="55">
        <f t="shared" si="168"/>
        <v>0.41948288810213485</v>
      </c>
      <c r="P64" s="55">
        <f t="shared" si="168"/>
        <v>0.32910534469403574</v>
      </c>
      <c r="Q64" s="55">
        <f t="shared" si="168"/>
        <v>0.30388529139685483</v>
      </c>
      <c r="R64" s="54">
        <f t="shared" si="168"/>
        <v>0.37352716896661997</v>
      </c>
      <c r="S64" s="55">
        <f t="shared" si="168"/>
        <v>0.25998662878154777</v>
      </c>
      <c r="T64" s="55">
        <f t="shared" si="168"/>
        <v>0.2762451817700855</v>
      </c>
      <c r="U64" s="55">
        <f t="shared" si="168"/>
        <v>0.2859328331026445</v>
      </c>
      <c r="V64" s="55">
        <f t="shared" si="168"/>
        <v>0.2464230814709707</v>
      </c>
      <c r="W64" s="54">
        <f t="shared" si="168"/>
        <v>0.26610910132884413</v>
      </c>
      <c r="X64" s="55">
        <f t="shared" si="168"/>
        <v>0.17642767128739134</v>
      </c>
      <c r="Y64" s="55">
        <f t="shared" si="168"/>
        <v>3.7721768151131041E-2</v>
      </c>
      <c r="Z64" s="55">
        <f t="shared" si="168"/>
        <v>1.6039575912077719E-2</v>
      </c>
      <c r="AA64" s="55">
        <f t="shared" si="168"/>
        <v>1.0118013926572411E-2</v>
      </c>
      <c r="AB64" s="53">
        <f t="shared" si="168"/>
        <v>5.3657274574592906E-2</v>
      </c>
      <c r="AC64" s="55">
        <f t="shared" si="168"/>
        <v>2.6096417139313433E-2</v>
      </c>
      <c r="AD64" s="55">
        <f t="shared" si="168"/>
        <v>0.21411074344107739</v>
      </c>
      <c r="AE64" s="55">
        <f t="shared" si="168"/>
        <v>0.27449521213787609</v>
      </c>
      <c r="AF64" s="55">
        <f t="shared" si="168"/>
        <v>0.26813476310423545</v>
      </c>
      <c r="AG64" s="53">
        <f t="shared" si="168"/>
        <v>0.1993256367174101</v>
      </c>
    </row>
    <row r="65" spans="1:33" s="42" customFormat="1" outlineLevel="1" x14ac:dyDescent="0.3">
      <c r="A65" s="145"/>
      <c r="B65" s="208" t="s">
        <v>102</v>
      </c>
      <c r="C65" s="209"/>
      <c r="D65" s="55"/>
      <c r="E65" s="55">
        <f>+E13/D13-1</f>
        <v>0.19583797844667417</v>
      </c>
      <c r="F65" s="55">
        <f t="shared" ref="F65:L65" si="169">+F13/E13-1</f>
        <v>8.9341205717837102E-2</v>
      </c>
      <c r="G65" s="55">
        <f t="shared" si="169"/>
        <v>0.25645414348880324</v>
      </c>
      <c r="H65" s="53"/>
      <c r="I65" s="55">
        <f>+I13/G13-1</f>
        <v>-8.8205244636167524E-2</v>
      </c>
      <c r="J65" s="55">
        <f t="shared" si="169"/>
        <v>0.16048306772908361</v>
      </c>
      <c r="K65" s="55">
        <f t="shared" si="169"/>
        <v>0.10803561849586951</v>
      </c>
      <c r="L65" s="55">
        <f t="shared" si="169"/>
        <v>0.25600309837335389</v>
      </c>
      <c r="M65" s="53"/>
      <c r="N65" s="55">
        <f>+N13/L13-1</f>
        <v>-7.755164970706141E-2</v>
      </c>
      <c r="O65" s="55">
        <f t="shared" ref="O65:Q65" si="170">+O13/N13-1</f>
        <v>0.10571619588835035</v>
      </c>
      <c r="P65" s="55">
        <f t="shared" si="170"/>
        <v>3.7487718237472656E-2</v>
      </c>
      <c r="Q65" s="55">
        <f t="shared" si="170"/>
        <v>0.23217017556640207</v>
      </c>
      <c r="R65" s="54"/>
      <c r="S65" s="55">
        <f>+S13/Q13-1</f>
        <v>-0.10860825351779591</v>
      </c>
      <c r="T65" s="55">
        <f t="shared" ref="T65:V65" si="171">+T13/S13-1</f>
        <v>0.11998408171386887</v>
      </c>
      <c r="U65" s="55">
        <f t="shared" si="171"/>
        <v>4.536302262229075E-2</v>
      </c>
      <c r="V65" s="55">
        <f t="shared" si="171"/>
        <v>0.19431225923408113</v>
      </c>
      <c r="W65" s="54"/>
      <c r="X65" s="55">
        <f>+X13/V13-1</f>
        <v>-0.15866616070581541</v>
      </c>
      <c r="Y65" s="55">
        <f t="shared" ref="Y65:AA65" si="172">+Y13/X13-1</f>
        <v>-1.2066878446186036E-2</v>
      </c>
      <c r="Z65" s="55">
        <f t="shared" si="172"/>
        <v>2.3521173764790904E-2</v>
      </c>
      <c r="AA65" s="55">
        <f t="shared" si="172"/>
        <v>0.1873517094279824</v>
      </c>
      <c r="AB65" s="53"/>
      <c r="AC65" s="55">
        <f>+AC13/AA13-1</f>
        <v>-0.14535764513097771</v>
      </c>
      <c r="AD65" s="55">
        <f t="shared" ref="AD65:AF65" si="173">+AD13/AC13-1</f>
        <v>0.16895468753684817</v>
      </c>
      <c r="AE65" s="55">
        <f t="shared" si="173"/>
        <v>7.4426564901139081E-2</v>
      </c>
      <c r="AF65" s="55">
        <f t="shared" si="173"/>
        <v>0.18142615556093045</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17811.169776999999</v>
      </c>
      <c r="Z66" s="29">
        <f>+Z84+Z13</f>
        <v>18166.170593999996</v>
      </c>
      <c r="AA66" s="29">
        <f>+AA84+AA13</f>
        <v>21513.1559696</v>
      </c>
      <c r="AB66" s="30">
        <f>SUM(X66:AA66)</f>
        <v>75502.496340600002</v>
      </c>
      <c r="AC66" s="29">
        <f>+AC84+AC13</f>
        <v>18402.289750800002</v>
      </c>
      <c r="AD66" s="29">
        <f>+AD84+AD13</f>
        <v>21462.726983248998</v>
      </c>
      <c r="AE66" s="29">
        <f>+AE84+AE13</f>
        <v>23026.079415120534</v>
      </c>
      <c r="AF66" s="29">
        <f>+AF84+AF13</f>
        <v>27199.322343260428</v>
      </c>
      <c r="AG66" s="30">
        <f>SUM(AC66:AF66)</f>
        <v>90090.418492429962</v>
      </c>
    </row>
    <row r="67" spans="1:33" s="42" customFormat="1" outlineLevel="1" x14ac:dyDescent="0.3">
      <c r="A67" s="145"/>
      <c r="B67" s="208" t="s">
        <v>103</v>
      </c>
      <c r="C67" s="209"/>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74">+T66/O13-1</f>
        <v>0.31962814602070888</v>
      </c>
      <c r="U67" s="55">
        <f t="shared" si="174"/>
        <v>0.30756902455015656</v>
      </c>
      <c r="V67" s="55">
        <f t="shared" si="174"/>
        <v>0.26386425446375794</v>
      </c>
      <c r="W67" s="147">
        <f>+W66/R13-1</f>
        <v>0.29599914037035702</v>
      </c>
      <c r="X67" s="55">
        <f>+X66/S13-1</f>
        <v>0.19466737414605029</v>
      </c>
      <c r="Y67" s="55">
        <f t="shared" ref="Y67" si="175">+Y66/T13-1</f>
        <v>5.4789161257846608E-2</v>
      </c>
      <c r="Z67" s="55">
        <f t="shared" ref="Z67" si="176">+Z66/U13-1</f>
        <v>2.912817777022414E-2</v>
      </c>
      <c r="AA67" s="55">
        <f t="shared" ref="AA67" si="177">+AA66/V13-1</f>
        <v>2.0451378882458959E-2</v>
      </c>
      <c r="AB67" s="147">
        <f>+AB66/W13-1</f>
        <v>6.7973129561367474E-2</v>
      </c>
      <c r="AC67" s="55">
        <f>+AC66/X13-1</f>
        <v>3.7508583796583617E-2</v>
      </c>
      <c r="AD67" s="55">
        <f t="shared" ref="AD67" si="178">+AD66/Y13-1</f>
        <v>0.22483387555802214</v>
      </c>
      <c r="AE67" s="55">
        <f t="shared" ref="AE67" si="179">+AE66/Z13-1</f>
        <v>0.28385345701489695</v>
      </c>
      <c r="AF67" s="55">
        <f t="shared" ref="AF67" si="180">+AF66/AA13-1</f>
        <v>0.27724484577018904</v>
      </c>
      <c r="AG67" s="147">
        <f>+AG66/AB13-1</f>
        <v>0.20942307203499899</v>
      </c>
    </row>
    <row r="68" spans="1:33" s="42" customFormat="1" outlineLevel="1" x14ac:dyDescent="0.3">
      <c r="A68" s="145"/>
      <c r="B68" s="208" t="s">
        <v>104</v>
      </c>
      <c r="C68" s="209"/>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1">+U66/T66-1</f>
        <v>2.8006872852233577E-2</v>
      </c>
      <c r="V68" s="55">
        <f t="shared" si="181"/>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2">+D15/D13</f>
        <v>0.84429580081753997</v>
      </c>
      <c r="E69" s="55">
        <f t="shared" si="182"/>
        <v>0.8576755748912368</v>
      </c>
      <c r="F69" s="55">
        <f t="shared" si="182"/>
        <v>0.85922122379118526</v>
      </c>
      <c r="G69" s="55">
        <f t="shared" si="182"/>
        <v>0.88103076399137248</v>
      </c>
      <c r="H69" s="53">
        <f t="shared" si="182"/>
        <v>0.86290614371517471</v>
      </c>
      <c r="I69" s="55">
        <f t="shared" si="182"/>
        <v>0.85570219123505975</v>
      </c>
      <c r="J69" s="55">
        <f t="shared" si="182"/>
        <v>0.86728891749812254</v>
      </c>
      <c r="K69" s="55">
        <f t="shared" si="182"/>
        <v>0.85979860573199074</v>
      </c>
      <c r="L69" s="55">
        <f t="shared" si="182"/>
        <v>0.87580943570767811</v>
      </c>
      <c r="M69" s="53">
        <f t="shared" si="182"/>
        <v>0.86581556096721024</v>
      </c>
      <c r="N69" s="55">
        <f t="shared" si="182"/>
        <v>0.8389603877653351</v>
      </c>
      <c r="O69" s="55">
        <f t="shared" si="182"/>
        <v>0.83266570931902351</v>
      </c>
      <c r="P69" s="55">
        <f t="shared" si="182"/>
        <v>0.82385080498288044</v>
      </c>
      <c r="Q69" s="55">
        <f t="shared" si="182"/>
        <v>0.83469315360056762</v>
      </c>
      <c r="R69" s="54">
        <f t="shared" si="182"/>
        <v>0.8324617643898421</v>
      </c>
      <c r="S69" s="144">
        <f>+S15/S13</f>
        <v>0.81322544272733299</v>
      </c>
      <c r="T69" s="55">
        <f t="shared" ref="T69:U69" si="183">+T15/T13</f>
        <v>0.80415729006277392</v>
      </c>
      <c r="U69" s="55">
        <f t="shared" si="183"/>
        <v>0.82126671198731027</v>
      </c>
      <c r="V69" s="55">
        <f t="shared" ref="V69" si="184">+V15/V13</f>
        <v>0.83436106631249407</v>
      </c>
      <c r="W69" s="147">
        <f>+W15/W13</f>
        <v>0.81936998741106415</v>
      </c>
      <c r="X69" s="144">
        <f>+X15/X13</f>
        <v>0.80498393189378137</v>
      </c>
      <c r="Y69" s="60">
        <v>0.8</v>
      </c>
      <c r="Z69" s="60">
        <v>0.79500000000000004</v>
      </c>
      <c r="AA69" s="60">
        <v>0.79</v>
      </c>
      <c r="AB69" s="54">
        <f>+AB15/AB13</f>
        <v>0.79712407627453918</v>
      </c>
      <c r="AC69" s="60">
        <v>0.79</v>
      </c>
      <c r="AD69" s="60">
        <v>0.79</v>
      </c>
      <c r="AE69" s="60">
        <v>0.79</v>
      </c>
      <c r="AF69" s="60">
        <v>0.79</v>
      </c>
      <c r="AG69" s="54">
        <f>+AG15/AG13</f>
        <v>0.79000000000000015</v>
      </c>
    </row>
    <row r="70" spans="1:33" s="42" customFormat="1" outlineLevel="1" x14ac:dyDescent="0.3">
      <c r="A70" s="145"/>
      <c r="B70" s="70" t="s">
        <v>92</v>
      </c>
      <c r="C70" s="71"/>
      <c r="D70" s="55">
        <f t="shared" ref="D70:R70" si="185">+D17/D13</f>
        <v>0.24953548866592346</v>
      </c>
      <c r="E70" s="55">
        <f t="shared" si="185"/>
        <v>0.22731510254816656</v>
      </c>
      <c r="F70" s="55">
        <f t="shared" si="185"/>
        <v>0.21951219512195122</v>
      </c>
      <c r="G70" s="55">
        <f t="shared" si="185"/>
        <v>0.17868089453967534</v>
      </c>
      <c r="H70" s="53">
        <f t="shared" si="185"/>
        <v>0.21416166148057023</v>
      </c>
      <c r="I70" s="55">
        <f t="shared" si="185"/>
        <v>0.22833665338645417</v>
      </c>
      <c r="J70" s="55">
        <f t="shared" si="185"/>
        <v>0.20587919751099668</v>
      </c>
      <c r="K70" s="55">
        <f t="shared" si="185"/>
        <v>0.19868319132455461</v>
      </c>
      <c r="L70" s="55">
        <f t="shared" si="185"/>
        <v>0.15024668516805428</v>
      </c>
      <c r="M70" s="53">
        <f t="shared" si="185"/>
        <v>0.19073623102846038</v>
      </c>
      <c r="N70" s="55">
        <f t="shared" si="185"/>
        <v>0.18702991810128697</v>
      </c>
      <c r="O70" s="55">
        <f t="shared" si="185"/>
        <v>0.19068853450230519</v>
      </c>
      <c r="P70" s="55">
        <f t="shared" si="185"/>
        <v>0.19356013695636337</v>
      </c>
      <c r="Q70" s="55">
        <f t="shared" si="185"/>
        <v>0.16879508099798984</v>
      </c>
      <c r="R70" s="54">
        <f t="shared" si="185"/>
        <v>0.18397865253053475</v>
      </c>
      <c r="S70" s="55">
        <f t="shared" ref="S70:T70" si="186">+S17/S13</f>
        <v>0.1896929097300524</v>
      </c>
      <c r="T70" s="55">
        <f t="shared" si="186"/>
        <v>0.19631647518654508</v>
      </c>
      <c r="U70" s="55">
        <f t="shared" ref="U70:V70" si="187">+U17/U13</f>
        <v>0.20099705415816904</v>
      </c>
      <c r="V70" s="55">
        <f t="shared" si="187"/>
        <v>0.1839009581633621</v>
      </c>
      <c r="W70" s="147"/>
      <c r="X70" s="55">
        <f>+X17/X13</f>
        <v>0.22636297006258105</v>
      </c>
      <c r="Y70" s="60">
        <v>0.24</v>
      </c>
      <c r="Z70" s="60">
        <v>0.24</v>
      </c>
      <c r="AA70" s="60">
        <v>0.24</v>
      </c>
      <c r="AB70" s="54"/>
      <c r="AC70" s="60">
        <v>0.24</v>
      </c>
      <c r="AD70" s="60">
        <v>0.24</v>
      </c>
      <c r="AE70" s="60">
        <v>0.24</v>
      </c>
      <c r="AF70" s="60">
        <v>0.24</v>
      </c>
      <c r="AG70" s="54"/>
    </row>
    <row r="71" spans="1:33" s="42" customFormat="1" outlineLevel="1" x14ac:dyDescent="0.3">
      <c r="A71" s="145"/>
      <c r="B71" s="70" t="s">
        <v>93</v>
      </c>
      <c r="C71" s="71"/>
      <c r="D71" s="55">
        <f t="shared" ref="D71:R71" si="188">+D18/D13</f>
        <v>0.15347454477889261</v>
      </c>
      <c r="E71" s="55">
        <f t="shared" si="188"/>
        <v>0.1396830329397141</v>
      </c>
      <c r="F71" s="55">
        <f t="shared" si="188"/>
        <v>0.13193552988161461</v>
      </c>
      <c r="G71" s="55">
        <f t="shared" si="188"/>
        <v>0.12736973549778635</v>
      </c>
      <c r="H71" s="53">
        <f t="shared" si="188"/>
        <v>0.13647876112598595</v>
      </c>
      <c r="I71" s="55">
        <f t="shared" si="188"/>
        <v>0.13159860557768924</v>
      </c>
      <c r="J71" s="55">
        <f t="shared" si="188"/>
        <v>0.12058791975109967</v>
      </c>
      <c r="K71" s="55">
        <f t="shared" si="188"/>
        <v>0.11328427575522851</v>
      </c>
      <c r="L71" s="55">
        <f t="shared" si="188"/>
        <v>0.1059204440333025</v>
      </c>
      <c r="M71" s="53">
        <f t="shared" si="188"/>
        <v>0.1162275846800974</v>
      </c>
      <c r="N71" s="55">
        <f t="shared" si="188"/>
        <v>0.13329433394618084</v>
      </c>
      <c r="O71" s="55">
        <f t="shared" si="188"/>
        <v>0.14020104300506386</v>
      </c>
      <c r="P71" s="55">
        <f t="shared" si="188"/>
        <v>0.14045312158519704</v>
      </c>
      <c r="Q71" s="55">
        <f t="shared" si="188"/>
        <v>0.14585550431595129</v>
      </c>
      <c r="R71" s="54">
        <f t="shared" si="188"/>
        <v>0.14049571976073641</v>
      </c>
      <c r="S71" s="55">
        <f t="shared" ref="S71:T71" si="189">+S18/S13</f>
        <v>0.13397890827087616</v>
      </c>
      <c r="T71" s="55">
        <f t="shared" si="189"/>
        <v>0.14295866398199691</v>
      </c>
      <c r="U71" s="55">
        <f t="shared" ref="U71:V71" si="190">+U18/U13</f>
        <v>0.13686834353047814</v>
      </c>
      <c r="V71" s="55">
        <f t="shared" si="190"/>
        <v>0.14353476899724885</v>
      </c>
      <c r="W71" s="147"/>
      <c r="X71" s="55">
        <f t="shared" ref="X71" si="191">+X18/X13</f>
        <v>0.15712916502226984</v>
      </c>
      <c r="Y71" s="60">
        <v>0.17</v>
      </c>
      <c r="Z71" s="60">
        <v>0.17</v>
      </c>
      <c r="AA71" s="60">
        <v>0.17</v>
      </c>
      <c r="AB71" s="166"/>
      <c r="AC71" s="60">
        <v>0.17</v>
      </c>
      <c r="AD71" s="60">
        <v>0.17</v>
      </c>
      <c r="AE71" s="60">
        <v>0.17</v>
      </c>
      <c r="AF71" s="60">
        <v>0.17</v>
      </c>
      <c r="AG71" s="54"/>
    </row>
    <row r="72" spans="1:33" s="42" customFormat="1" outlineLevel="1" x14ac:dyDescent="0.3">
      <c r="A72" s="145"/>
      <c r="B72" s="70" t="s">
        <v>94</v>
      </c>
      <c r="C72" s="71"/>
      <c r="D72" s="55">
        <f t="shared" ref="D72:R72" si="192">+D19/D13</f>
        <v>6.8004459308807136E-2</v>
      </c>
      <c r="E72" s="55">
        <f t="shared" si="192"/>
        <v>6.401491609695463E-2</v>
      </c>
      <c r="F72" s="55">
        <f t="shared" si="192"/>
        <v>6.2473256311510482E-2</v>
      </c>
      <c r="G72" s="55">
        <f t="shared" si="192"/>
        <v>5.8462935634010671E-2</v>
      </c>
      <c r="H72" s="53">
        <f t="shared" si="192"/>
        <v>6.2631159997105432E-2</v>
      </c>
      <c r="I72" s="55">
        <f t="shared" si="192"/>
        <v>8.1548804780876491E-2</v>
      </c>
      <c r="J72" s="55">
        <f t="shared" si="192"/>
        <v>6.8662160712369913E-2</v>
      </c>
      <c r="K72" s="55">
        <f t="shared" si="192"/>
        <v>5.1897753679318356E-2</v>
      </c>
      <c r="L72" s="55">
        <f t="shared" si="192"/>
        <v>5.2883132901634287E-2</v>
      </c>
      <c r="M72" s="53">
        <f t="shared" si="192"/>
        <v>6.1914249870858237E-2</v>
      </c>
      <c r="N72" s="55">
        <f t="shared" si="192"/>
        <v>6.3262577302356682E-2</v>
      </c>
      <c r="O72" s="55">
        <f t="shared" si="192"/>
        <v>5.865013982314262E-2</v>
      </c>
      <c r="P72" s="55">
        <f t="shared" si="192"/>
        <v>6.8696729074087567E-2</v>
      </c>
      <c r="Q72" s="55">
        <f t="shared" si="192"/>
        <v>5.7703677426983561E-2</v>
      </c>
      <c r="R72" s="54">
        <f t="shared" si="192"/>
        <v>6.1821698484902751E-2</v>
      </c>
      <c r="S72" s="55">
        <f t="shared" ref="S72:T72" si="193">+S19/S13</f>
        <v>0.26954964515487168</v>
      </c>
      <c r="T72" s="55">
        <f t="shared" si="193"/>
        <v>0.19092739547554186</v>
      </c>
      <c r="U72" s="55">
        <f t="shared" ref="U72:V72" si="194">+U19/U13</f>
        <v>7.6365284387038296E-2</v>
      </c>
      <c r="V72" s="55">
        <f t="shared" si="194"/>
        <v>8.675647471776872E-2</v>
      </c>
      <c r="W72" s="147"/>
      <c r="X72" s="55">
        <f t="shared" ref="X72" si="195">+X19/X13</f>
        <v>8.9248463663528219E-2</v>
      </c>
      <c r="Y72" s="60">
        <v>0.1</v>
      </c>
      <c r="Z72" s="60">
        <v>0.11</v>
      </c>
      <c r="AA72" s="60">
        <v>0.12</v>
      </c>
      <c r="AB72" s="54"/>
      <c r="AC72" s="60">
        <v>0.13</v>
      </c>
      <c r="AD72" s="60">
        <v>0.12</v>
      </c>
      <c r="AE72" s="60">
        <v>0.09</v>
      </c>
      <c r="AF72" s="60">
        <v>0.09</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53046.806119823981</v>
      </c>
      <c r="AC73" s="51"/>
      <c r="AD73" s="51"/>
      <c r="AE73" s="51"/>
      <c r="AF73" s="51"/>
      <c r="AG73" s="30">
        <f>AG14+AG17+AG18+AG19</f>
        <v>64796.401714754742</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-0.73365356036757934</v>
      </c>
      <c r="Z74" s="55">
        <f>+(Z14+Z17+Z18+Z19)/(X14+X17+X18+X19)-1</f>
        <v>9.7852894347348451E-2</v>
      </c>
      <c r="AA74" s="55">
        <f>+(AA14+AA17+AA18+AA19)/(Y14+Y17+Y18+Y19)-1</f>
        <v>0.26662945820558592</v>
      </c>
      <c r="AB74" s="53">
        <f>+(AB14+AB17+AB18+AB19)/(W14+W17+W18+W19)-1</f>
        <v>0.13563841749960348</v>
      </c>
      <c r="AC74" s="55">
        <f>+(AC14+AC17+AC18+AC19)/(AA14+AA17+AA18+AA19)-1</f>
        <v>-0.13380842411923399</v>
      </c>
      <c r="AD74" s="55">
        <f>+(AD14+AD17+AD18+AD19)/(AB14+AB17+AB18+AB19)-1</f>
        <v>-0.70321736047138095</v>
      </c>
      <c r="AE74" s="55">
        <f>+(AE14+AE17+AE18+AE19)/(AC14+AC17+AC18+AC19)-1</f>
        <v>0.18897165108435043</v>
      </c>
      <c r="AF74" s="55">
        <f>+(AF14+AF17+AF18+AF19)/(AD14+AD17+AD18+AD19)-1</f>
        <v>0.21789528197651253</v>
      </c>
      <c r="AG74" s="53">
        <f>+(AG14+AG17+AG18+AG19)/(AB14+AB17+AB18+AB19)-1</f>
        <v>0.2214948731953883</v>
      </c>
    </row>
    <row r="75" spans="1:33" s="42" customFormat="1" outlineLevel="1" x14ac:dyDescent="0.3">
      <c r="A75" s="145"/>
      <c r="B75" s="208" t="s">
        <v>4</v>
      </c>
      <c r="C75" s="209"/>
      <c r="D75" s="51">
        <f t="shared" ref="D75:AG75" si="196">D21/D13</f>
        <v>0.37328130806391674</v>
      </c>
      <c r="E75" s="51">
        <f t="shared" si="196"/>
        <v>0.42666252330640148</v>
      </c>
      <c r="F75" s="51">
        <f t="shared" si="196"/>
        <v>0.445300242476109</v>
      </c>
      <c r="G75" s="51">
        <f t="shared" si="196"/>
        <v>0.51651719831990006</v>
      </c>
      <c r="H75" s="54">
        <f t="shared" si="196"/>
        <v>0.44963456111151312</v>
      </c>
      <c r="I75" s="51">
        <f t="shared" si="196"/>
        <v>0.41421812749003983</v>
      </c>
      <c r="J75" s="51">
        <f t="shared" si="196"/>
        <v>0.47215963952365625</v>
      </c>
      <c r="K75" s="51">
        <f t="shared" si="196"/>
        <v>0.49593338497288925</v>
      </c>
      <c r="L75" s="51">
        <f t="shared" si="196"/>
        <v>0.56675917360468697</v>
      </c>
      <c r="M75" s="54">
        <f t="shared" si="196"/>
        <v>0.49693749538779425</v>
      </c>
      <c r="N75" s="51">
        <f t="shared" si="196"/>
        <v>0.45537355841551064</v>
      </c>
      <c r="O75" s="51">
        <f t="shared" si="196"/>
        <v>0.44312599198851182</v>
      </c>
      <c r="P75" s="51">
        <f t="shared" si="196"/>
        <v>0.42114081736723247</v>
      </c>
      <c r="Q75" s="51">
        <f t="shared" si="196"/>
        <v>0.46233889085964291</v>
      </c>
      <c r="R75" s="54">
        <f t="shared" si="196"/>
        <v>0.44616569361366809</v>
      </c>
      <c r="S75" s="51">
        <f t="shared" si="196"/>
        <v>0.22000397957153281</v>
      </c>
      <c r="T75" s="51">
        <f t="shared" si="196"/>
        <v>0.27395475541869002</v>
      </c>
      <c r="U75" s="51">
        <f t="shared" si="196"/>
        <v>0.40703602991162474</v>
      </c>
      <c r="V75" s="51">
        <f t="shared" si="196"/>
        <v>0.42016886443411439</v>
      </c>
      <c r="W75" s="147">
        <f t="shared" si="196"/>
        <v>0.33927889443682191</v>
      </c>
      <c r="X75" s="51">
        <f t="shared" si="196"/>
        <v>0.33224333314540228</v>
      </c>
      <c r="Y75" s="51">
        <f t="shared" si="196"/>
        <v>0.28999999999999998</v>
      </c>
      <c r="Z75" s="51">
        <f t="shared" si="196"/>
        <v>0.27500000000000002</v>
      </c>
      <c r="AA75" s="51">
        <f t="shared" si="196"/>
        <v>0.26</v>
      </c>
      <c r="AB75" s="54">
        <f t="shared" si="196"/>
        <v>0.28787064936907403</v>
      </c>
      <c r="AC75" s="51">
        <f t="shared" si="196"/>
        <v>0.25</v>
      </c>
      <c r="AD75" s="51">
        <f t="shared" si="196"/>
        <v>0.26</v>
      </c>
      <c r="AE75" s="51">
        <f t="shared" si="196"/>
        <v>0.29000000000000004</v>
      </c>
      <c r="AF75" s="51">
        <f t="shared" si="196"/>
        <v>0.29000000000000004</v>
      </c>
      <c r="AG75" s="54">
        <f t="shared" si="196"/>
        <v>0.2747071152181188</v>
      </c>
    </row>
    <row r="76" spans="1:33" s="42" customFormat="1" outlineLevel="1" x14ac:dyDescent="0.3">
      <c r="A76" s="145"/>
      <c r="B76" s="208" t="s">
        <v>2</v>
      </c>
      <c r="C76" s="209"/>
      <c r="D76" s="51">
        <f t="shared" ref="D76:X76" si="197">-D24/D23</f>
        <v>0.26876513317191281</v>
      </c>
      <c r="E76" s="51">
        <f t="shared" si="197"/>
        <v>0.25704989154013014</v>
      </c>
      <c r="F76" s="51">
        <f t="shared" si="197"/>
        <v>0.24928999684443043</v>
      </c>
      <c r="G76" s="51">
        <f t="shared" si="197"/>
        <v>5.422753430721558E-2</v>
      </c>
      <c r="H76" s="54">
        <f t="shared" si="197"/>
        <v>0.18381530595941845</v>
      </c>
      <c r="I76" s="51">
        <f t="shared" si="197"/>
        <v>0.10093896713615023</v>
      </c>
      <c r="J76" s="51">
        <f t="shared" si="197"/>
        <v>0.13235294117647059</v>
      </c>
      <c r="K76" s="51">
        <f t="shared" si="197"/>
        <v>0.10103132161955691</v>
      </c>
      <c r="L76" s="51">
        <f t="shared" si="197"/>
        <v>0.42803537925489143</v>
      </c>
      <c r="M76" s="54">
        <f t="shared" si="197"/>
        <v>0.22632805671554823</v>
      </c>
      <c r="N76" s="51">
        <f t="shared" si="197"/>
        <v>0.11087344028520499</v>
      </c>
      <c r="O76" s="51">
        <f t="shared" si="197"/>
        <v>0.12985685071574643</v>
      </c>
      <c r="P76" s="51">
        <f t="shared" si="197"/>
        <v>0.13108930987821379</v>
      </c>
      <c r="Q76" s="51">
        <f t="shared" si="197"/>
        <v>0.13662024840045164</v>
      </c>
      <c r="R76" s="54">
        <f t="shared" si="197"/>
        <v>0.12807065967430306</v>
      </c>
      <c r="S76" s="144">
        <f t="shared" si="197"/>
        <v>0.30241240666283747</v>
      </c>
      <c r="T76" s="51">
        <f t="shared" si="197"/>
        <v>0.45860927152317882</v>
      </c>
      <c r="U76" s="51">
        <f t="shared" si="197"/>
        <v>0.16891799699822621</v>
      </c>
      <c r="V76" s="51">
        <f t="shared" si="197"/>
        <v>0.19849492856363835</v>
      </c>
      <c r="W76" s="147">
        <f t="shared" si="197"/>
        <v>0.25499758181525067</v>
      </c>
      <c r="X76" s="144">
        <f t="shared" si="197"/>
        <v>0.16362395495649207</v>
      </c>
      <c r="Y76" s="59">
        <v>0.18</v>
      </c>
      <c r="Z76" s="59">
        <v>0.18</v>
      </c>
      <c r="AA76" s="59">
        <v>0.18</v>
      </c>
      <c r="AB76" s="167">
        <f>-AB24/AB23</f>
        <v>0.17560918003074616</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0.18077098098635858</v>
      </c>
    </row>
    <row r="77" spans="1:33" ht="17.399999999999999" x14ac:dyDescent="0.45">
      <c r="A77" s="138"/>
      <c r="B77" s="200" t="s">
        <v>18</v>
      </c>
      <c r="C77" s="201"/>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208" t="s">
        <v>12</v>
      </c>
      <c r="C78" s="209"/>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 si="198">AVERAGE(T78,U78,V78,X78)</f>
        <v>1.7723909360243817E-3</v>
      </c>
      <c r="Z78" s="60">
        <f t="shared" ref="Z78:Z79" si="199">AVERAGE(U78,V78,X78,Y78)</f>
        <v>1.7638955327755751E-3</v>
      </c>
      <c r="AA78" s="60">
        <f t="shared" ref="AA78:AA79" si="200">AVERAGE(V78,X78,Y78,Z78)</f>
        <v>1.7617871042356799E-3</v>
      </c>
      <c r="AB78" s="23"/>
      <c r="AC78" s="60">
        <f t="shared" ref="AC78" si="201">AVERAGE(X78,Y78,Z78,AA78)</f>
        <v>1.6135863680311483E-3</v>
      </c>
      <c r="AD78" s="60">
        <f t="shared" ref="AD78" si="202">AVERAGE(Y78,Z78,AA78,AC78)</f>
        <v>1.7279149852666962E-3</v>
      </c>
      <c r="AE78" s="60">
        <f t="shared" ref="AE78:AE79" si="203">AVERAGE(Z78,AA78,AC78,AD78)</f>
        <v>1.7167959975772748E-3</v>
      </c>
      <c r="AF78" s="60">
        <f t="shared" ref="AF78:AF79" si="204">AVERAGE(AA78,AC78,AD78,AE78)</f>
        <v>1.7050211137776996E-3</v>
      </c>
      <c r="AG78" s="23"/>
    </row>
    <row r="79" spans="1:33" outlineLevel="1" x14ac:dyDescent="0.3">
      <c r="A79" s="138"/>
      <c r="B79" s="208" t="s">
        <v>13</v>
      </c>
      <c r="C79" s="209"/>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AVERAGE(T79,U79,V79,X79)</f>
        <v>2.1111956602481441E-3</v>
      </c>
      <c r="Z79" s="60">
        <f t="shared" si="199"/>
        <v>1.5794790646792983E-3</v>
      </c>
      <c r="AA79" s="60">
        <f t="shared" si="200"/>
        <v>1.534348830849127E-3</v>
      </c>
      <c r="AB79" s="23"/>
      <c r="AC79" s="60">
        <f>AVERAGE(X79,Y79,Z79,AA79)</f>
        <v>8.114642222774816E-4</v>
      </c>
      <c r="AD79" s="60">
        <f>AVERAGE(Y79,Z79,AA79,AC79)</f>
        <v>1.5091219445135127E-3</v>
      </c>
      <c r="AE79" s="60">
        <f t="shared" si="203"/>
        <v>1.358603515579855E-3</v>
      </c>
      <c r="AF79" s="60">
        <f t="shared" si="204"/>
        <v>1.3033846283049941E-3</v>
      </c>
      <c r="AG79" s="23"/>
    </row>
    <row r="80" spans="1:33" outlineLevel="1" x14ac:dyDescent="0.3">
      <c r="A80" s="138"/>
      <c r="B80" s="208" t="s">
        <v>5</v>
      </c>
      <c r="C80" s="209"/>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220</v>
      </c>
      <c r="Z80" s="63">
        <v>220</v>
      </c>
      <c r="AA80" s="63">
        <v>220</v>
      </c>
      <c r="AB80" s="62"/>
      <c r="AC80" s="63">
        <v>220</v>
      </c>
      <c r="AD80" s="63">
        <v>220</v>
      </c>
      <c r="AE80" s="63">
        <v>220</v>
      </c>
      <c r="AF80" s="63">
        <v>220</v>
      </c>
      <c r="AG80" s="62"/>
    </row>
    <row r="81" spans="1:33" outlineLevel="1" x14ac:dyDescent="0.3">
      <c r="A81" s="138"/>
      <c r="B81" s="208" t="s">
        <v>6</v>
      </c>
      <c r="C81" s="209"/>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206" t="s">
        <v>17</v>
      </c>
      <c r="C82" s="207"/>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5.4763825340909094</v>
      </c>
      <c r="Z82" s="66">
        <f>IF((Z81)&gt;0,(Z81/Z80),0)</f>
        <v>5.5669429630681817</v>
      </c>
      <c r="AA82" s="66">
        <f>IF((AA81)&gt;0,(AA81/AA80),0)</f>
        <v>5.6511246129261368</v>
      </c>
      <c r="AB82" s="101">
        <f>+SUM(X82:AA82)</f>
        <v>22.994450110085229</v>
      </c>
      <c r="AC82" s="66">
        <f>IF((AC81)&gt;0,(AC81/AC80),0)</f>
        <v>5.5844939479758526</v>
      </c>
      <c r="AD82" s="66">
        <f>IF((AD81)&gt;0,(AD81/AD80),0)</f>
        <v>5.5697360145152706</v>
      </c>
      <c r="AE82" s="66">
        <f>IF((AE81)&gt;0,(AE81/AE80),0)</f>
        <v>5.5930743846213611</v>
      </c>
      <c r="AF82" s="66">
        <f>IF((AF81)&gt;0,(AF81/AF80),0)</f>
        <v>5.5996072400096555</v>
      </c>
      <c r="AG82" s="101">
        <f>+SUM(AC82:AF82)</f>
        <v>22.346911587122136</v>
      </c>
    </row>
    <row r="83" spans="1:33" ht="17.399999999999999" x14ac:dyDescent="0.45">
      <c r="A83" s="138"/>
      <c r="B83" s="200" t="s">
        <v>24</v>
      </c>
      <c r="C83" s="201"/>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208" t="s">
        <v>95</v>
      </c>
      <c r="C84" s="209"/>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05">SUM(S84:V84)</f>
        <v>1669</v>
      </c>
      <c r="X84" s="133">
        <v>275</v>
      </c>
      <c r="Y84" s="58">
        <f>AVERAGE(X84,V84,U84,T84,)</f>
        <v>288.2</v>
      </c>
      <c r="Z84" s="58">
        <f>AVERAGE(Y84,X84,V84,U84,)</f>
        <v>231.04000000000002</v>
      </c>
      <c r="AA84" s="58">
        <f>AVERAGE(Z84,Y84,X84,V84,)</f>
        <v>217.84800000000001</v>
      </c>
      <c r="AB84" s="30">
        <f t="shared" ref="AB84" si="206">SUM(X84:AA84)</f>
        <v>1012.088</v>
      </c>
      <c r="AC84" s="58">
        <f>AVERAGE(AA84,Z84,Y84,X84,)</f>
        <v>202.41759999999999</v>
      </c>
      <c r="AD84" s="58">
        <f>AVERAGE(AC84,AA84,Z84,Y84,)</f>
        <v>187.90111999999999</v>
      </c>
      <c r="AE84" s="58">
        <f>AVERAGE(AD84,AC84,AA84,Z84,)</f>
        <v>167.84134399999999</v>
      </c>
      <c r="AF84" s="58">
        <f>AVERAGE(AE84,AD84,AC84,AA84)</f>
        <v>194.00201599999997</v>
      </c>
      <c r="AG84" s="30">
        <f t="shared" ref="AG84" si="207">SUM(AC84:AF84)</f>
        <v>752.16207999999983</v>
      </c>
    </row>
    <row r="85" spans="1:33" ht="17.399999999999999" x14ac:dyDescent="0.45">
      <c r="A85" s="138"/>
      <c r="B85" s="200" t="s">
        <v>96</v>
      </c>
      <c r="C85" s="201"/>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08">SUM(N87:Q87)</f>
        <v>3022</v>
      </c>
      <c r="S87" s="133">
        <v>723</v>
      </c>
      <c r="T87" s="133">
        <v>927</v>
      </c>
      <c r="U87" s="133">
        <v>907</v>
      </c>
      <c r="V87" s="133">
        <f>3488-U87-T87-S87</f>
        <v>931</v>
      </c>
      <c r="W87" s="30">
        <f t="shared" ref="W87:W89" si="209">SUM(S87:V87)</f>
        <v>3488</v>
      </c>
      <c r="X87" s="133">
        <v>999</v>
      </c>
      <c r="Y87" s="58">
        <f>AVERAGE(T87,U87,V87,X87)</f>
        <v>941</v>
      </c>
      <c r="Z87" s="58">
        <f t="shared" ref="Z87:Z89" si="210">AVERAGE(U87,V87,X87,Y87)</f>
        <v>944.5</v>
      </c>
      <c r="AA87" s="58">
        <f t="shared" ref="AA87:AA89" si="211">AVERAGE(V87,X87,Y87,Z87)</f>
        <v>953.875</v>
      </c>
      <c r="AB87" s="30">
        <f t="shared" ref="AB87:AB89" si="212">SUM(X87:AA87)</f>
        <v>3838.375</v>
      </c>
      <c r="AC87" s="58">
        <f t="shared" ref="AC87:AC89" si="213">AVERAGE(X87,Y87,Z87,AA87)</f>
        <v>959.59375</v>
      </c>
      <c r="AD87" s="58">
        <f t="shared" ref="AD87:AD89" si="214">AVERAGE(Y87,Z87,AA87,AC87)</f>
        <v>949.7421875</v>
      </c>
      <c r="AE87" s="58">
        <f t="shared" ref="AE87:AE89" si="215">AVERAGE(Z87,AA87,AC87,AD87)</f>
        <v>951.927734375</v>
      </c>
      <c r="AF87" s="58">
        <f t="shared" ref="AF87:AF89" si="216">AVERAGE(AA87,AC87,AD87,AE87)</f>
        <v>953.78466796875</v>
      </c>
      <c r="AG87" s="30">
        <f t="shared" ref="AG87:AG89" si="217">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08"/>
        <v>511</v>
      </c>
      <c r="S88" s="133">
        <v>113</v>
      </c>
      <c r="T88" s="133">
        <v>160</v>
      </c>
      <c r="U88" s="133">
        <v>148</v>
      </c>
      <c r="V88" s="133">
        <f>569-U88-T88-S88</f>
        <v>148</v>
      </c>
      <c r="W88" s="30">
        <f t="shared" si="209"/>
        <v>569</v>
      </c>
      <c r="X88" s="133">
        <v>149</v>
      </c>
      <c r="Y88" s="58">
        <f t="shared" ref="Y88" si="218">AVERAGE(T88,U88,V88,X88)</f>
        <v>151.25</v>
      </c>
      <c r="Z88" s="58">
        <f t="shared" si="210"/>
        <v>149.0625</v>
      </c>
      <c r="AA88" s="58">
        <f t="shared" si="211"/>
        <v>149.328125</v>
      </c>
      <c r="AB88" s="30">
        <f t="shared" si="212"/>
        <v>598.640625</v>
      </c>
      <c r="AC88" s="58">
        <f t="shared" si="213"/>
        <v>149.66015625</v>
      </c>
      <c r="AD88" s="58">
        <f t="shared" si="214"/>
        <v>149.8251953125</v>
      </c>
      <c r="AE88" s="58">
        <f t="shared" si="215"/>
        <v>149.468994140625</v>
      </c>
      <c r="AF88" s="58">
        <f t="shared" si="216"/>
        <v>149.57061767578125</v>
      </c>
      <c r="AG88" s="30">
        <f t="shared" si="217"/>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08"/>
        <v>335</v>
      </c>
      <c r="S89" s="149">
        <v>87</v>
      </c>
      <c r="T89" s="157">
        <v>107</v>
      </c>
      <c r="U89" s="157">
        <v>103</v>
      </c>
      <c r="V89" s="162">
        <f>402-U89-T89-S89</f>
        <v>105</v>
      </c>
      <c r="W89" s="68">
        <f t="shared" si="209"/>
        <v>402</v>
      </c>
      <c r="X89" s="149">
        <v>93</v>
      </c>
      <c r="Y89" s="77">
        <f>AVERAGE(T89,U89,V89,X89)</f>
        <v>102</v>
      </c>
      <c r="Z89" s="77">
        <f t="shared" si="210"/>
        <v>100.75</v>
      </c>
      <c r="AA89" s="106">
        <f t="shared" si="211"/>
        <v>100.1875</v>
      </c>
      <c r="AB89" s="68">
        <f t="shared" si="212"/>
        <v>395.9375</v>
      </c>
      <c r="AC89" s="105">
        <f t="shared" si="213"/>
        <v>98.984375</v>
      </c>
      <c r="AD89" s="77">
        <f t="shared" si="214"/>
        <v>100.48046875</v>
      </c>
      <c r="AE89" s="77">
        <f t="shared" si="215"/>
        <v>100.1005859375</v>
      </c>
      <c r="AF89" s="106">
        <f t="shared" si="216"/>
        <v>99.938232421875</v>
      </c>
      <c r="AG89" s="68">
        <f t="shared" si="217"/>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row r="93" spans="1:33" x14ac:dyDescent="0.3">
      <c r="U93" s="3"/>
      <c r="V93" s="3"/>
      <c r="W93" s="3"/>
    </row>
  </sheetData>
  <dataConsolidate/>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23" sqref="G23"/>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6" customHeight="1" x14ac:dyDescent="0.3">
      <c r="B5" s="6"/>
    </row>
    <row r="6" spans="2:14" ht="21" customHeight="1" x14ac:dyDescent="0.3">
      <c r="C6" s="8"/>
      <c r="D6" s="9"/>
      <c r="E6" s="9"/>
      <c r="F6" s="9"/>
      <c r="H6" s="6"/>
    </row>
    <row r="7" spans="2:14" s="5" customFormat="1" ht="21" customHeight="1" x14ac:dyDescent="0.3">
      <c r="C7" s="9"/>
      <c r="D7" s="9"/>
      <c r="E7" s="9"/>
      <c r="F7" s="9"/>
      <c r="H7" s="219"/>
      <c r="I7" s="219"/>
      <c r="J7" s="219"/>
      <c r="K7" s="219"/>
      <c r="L7" s="219"/>
      <c r="M7" s="219"/>
      <c r="N7" s="219"/>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2020-07-18T14:12:06Z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