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F33F309F-9101-484A-80DC-F334F3F3587F}"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3" l="1"/>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Y81" i="3"/>
  <c r="T43" i="3"/>
  <c r="U43" i="3"/>
  <c r="V43" i="3"/>
  <c r="X43" i="3"/>
  <c r="Y42" i="3"/>
  <c r="T53" i="3"/>
  <c r="U53" i="3"/>
  <c r="V53" i="3"/>
  <c r="X53" i="3"/>
  <c r="Y52" i="3"/>
  <c r="Y36" i="3"/>
  <c r="T45" i="3"/>
  <c r="U45" i="3"/>
  <c r="V45" i="3"/>
  <c r="X45" i="3"/>
  <c r="Y44" i="3"/>
  <c r="T55" i="3"/>
  <c r="U55" i="3"/>
  <c r="V55" i="3"/>
  <c r="X55" i="3"/>
  <c r="Y54" i="3"/>
  <c r="Y37" i="3"/>
  <c r="T47" i="3"/>
  <c r="U47" i="3"/>
  <c r="V47" i="3"/>
  <c r="X47" i="3"/>
  <c r="Y47" i="3"/>
  <c r="Y46" i="3"/>
  <c r="T57" i="3"/>
  <c r="U57" i="3"/>
  <c r="V57" i="3"/>
  <c r="X57" i="3"/>
  <c r="Y56" i="3"/>
  <c r="Y38" i="3"/>
  <c r="T49" i="3"/>
  <c r="U49" i="3"/>
  <c r="V49" i="3"/>
  <c r="X49" i="3"/>
  <c r="Y48" i="3"/>
  <c r="T59" i="3"/>
  <c r="U59" i="3"/>
  <c r="V59" i="3"/>
  <c r="X59" i="3"/>
  <c r="Y58" i="3"/>
  <c r="Y39" i="3"/>
  <c r="Y40" i="3"/>
  <c r="Y13" i="3"/>
  <c r="Y14" i="3"/>
  <c r="Y15" i="3"/>
  <c r="Y17" i="3"/>
  <c r="Y18" i="3"/>
  <c r="Y19" i="3"/>
  <c r="Y20" i="3"/>
  <c r="Y21" i="3"/>
  <c r="Y22" i="3"/>
  <c r="Y23" i="3"/>
  <c r="Y24" i="3"/>
  <c r="Y25" i="3"/>
  <c r="Z81" i="3"/>
  <c r="Z43" i="3"/>
  <c r="Z42" i="3"/>
  <c r="Z52" i="3"/>
  <c r="Z36" i="3"/>
  <c r="Z45" i="3"/>
  <c r="Z44" i="3"/>
  <c r="Z55" i="3"/>
  <c r="Z54" i="3"/>
  <c r="Z37" i="3"/>
  <c r="Z47" i="3"/>
  <c r="Z46" i="3"/>
  <c r="Z57" i="3"/>
  <c r="Z56" i="3"/>
  <c r="Z38" i="3"/>
  <c r="Z49" i="3"/>
  <c r="Z48" i="3"/>
  <c r="Z59" i="3"/>
  <c r="Z58" i="3"/>
  <c r="Z39" i="3"/>
  <c r="Z40" i="3"/>
  <c r="Z13" i="3"/>
  <c r="Z14" i="3"/>
  <c r="Z15" i="3"/>
  <c r="Z17" i="3"/>
  <c r="Z18" i="3"/>
  <c r="Z19" i="3"/>
  <c r="Z20" i="3"/>
  <c r="Z21" i="3"/>
  <c r="Z22" i="3"/>
  <c r="Z23" i="3"/>
  <c r="Z24" i="3"/>
  <c r="Z25" i="3"/>
  <c r="AA81" i="3"/>
  <c r="AA42" i="3"/>
  <c r="AA52" i="3"/>
  <c r="AA36" i="3"/>
  <c r="AA45" i="3"/>
  <c r="AA44" i="3"/>
  <c r="AA55" i="3"/>
  <c r="AA54" i="3"/>
  <c r="AA37" i="3"/>
  <c r="AA47" i="3"/>
  <c r="AA46" i="3"/>
  <c r="AA57" i="3"/>
  <c r="AA56" i="3"/>
  <c r="AA38" i="3"/>
  <c r="AA49" i="3"/>
  <c r="AA48" i="3"/>
  <c r="AA59" i="3"/>
  <c r="AA58" i="3"/>
  <c r="AA39" i="3"/>
  <c r="AA40" i="3"/>
  <c r="AA13" i="3"/>
  <c r="AA14" i="3"/>
  <c r="AA15" i="3"/>
  <c r="AA17" i="3"/>
  <c r="AA18" i="3"/>
  <c r="AA19" i="3"/>
  <c r="AA20" i="3"/>
  <c r="AA21" i="3"/>
  <c r="AA22" i="3"/>
  <c r="AA23" i="3"/>
  <c r="AA24" i="3"/>
  <c r="AA25" i="3"/>
  <c r="AC81" i="3"/>
  <c r="AC42" i="3"/>
  <c r="AC52" i="3"/>
  <c r="AC36" i="3"/>
  <c r="AC45" i="3"/>
  <c r="AC44" i="3"/>
  <c r="AC55" i="3"/>
  <c r="AC54" i="3"/>
  <c r="AC37" i="3"/>
  <c r="AC47" i="3"/>
  <c r="AC46" i="3"/>
  <c r="AC57" i="3"/>
  <c r="AC56" i="3"/>
  <c r="AC38" i="3"/>
  <c r="AC48" i="3"/>
  <c r="AC59" i="3"/>
  <c r="AC58" i="3"/>
  <c r="AC39" i="3"/>
  <c r="AC40" i="3"/>
  <c r="AC13" i="3"/>
  <c r="AC14" i="3"/>
  <c r="AC15" i="3"/>
  <c r="AC17" i="3"/>
  <c r="AC18" i="3"/>
  <c r="AC19" i="3"/>
  <c r="AC20" i="3"/>
  <c r="AC21" i="3"/>
  <c r="AC22" i="3"/>
  <c r="AC23" i="3"/>
  <c r="X76" i="3"/>
  <c r="AC76" i="3"/>
  <c r="AC24" i="3"/>
  <c r="AC25" i="3"/>
  <c r="AD81" i="3"/>
  <c r="AD42" i="3"/>
  <c r="AD52" i="3"/>
  <c r="AD36" i="3"/>
  <c r="AD45" i="3"/>
  <c r="AD44" i="3"/>
  <c r="AD55" i="3"/>
  <c r="AD54" i="3"/>
  <c r="AD37" i="3"/>
  <c r="AD47" i="3"/>
  <c r="AD46" i="3"/>
  <c r="AD57" i="3"/>
  <c r="AD56" i="3"/>
  <c r="AD38" i="3"/>
  <c r="AD48" i="3"/>
  <c r="AD59" i="3"/>
  <c r="AD58" i="3"/>
  <c r="AD39" i="3"/>
  <c r="AD40" i="3"/>
  <c r="AD13" i="3"/>
  <c r="AD14" i="3"/>
  <c r="AD15" i="3"/>
  <c r="AD17" i="3"/>
  <c r="AD18" i="3"/>
  <c r="AD19" i="3"/>
  <c r="AD20" i="3"/>
  <c r="AD21" i="3"/>
  <c r="AD22" i="3"/>
  <c r="AD23" i="3"/>
  <c r="AD76" i="3"/>
  <c r="AD24" i="3"/>
  <c r="AD25" i="3"/>
  <c r="AE81" i="3"/>
  <c r="AE42" i="3"/>
  <c r="AE52" i="3"/>
  <c r="AE36" i="3"/>
  <c r="AE45" i="3"/>
  <c r="AE44" i="3"/>
  <c r="AE55" i="3"/>
  <c r="AE54" i="3"/>
  <c r="AE37" i="3"/>
  <c r="AE47" i="3"/>
  <c r="AE46" i="3"/>
  <c r="AE57" i="3"/>
  <c r="AE56" i="3"/>
  <c r="AE38" i="3"/>
  <c r="AE48" i="3"/>
  <c r="AE59" i="3"/>
  <c r="AE58" i="3"/>
  <c r="AE39" i="3"/>
  <c r="AE40" i="3"/>
  <c r="AE13" i="3"/>
  <c r="AE14" i="3"/>
  <c r="AE15" i="3"/>
  <c r="AE70" i="3"/>
  <c r="AE17" i="3"/>
  <c r="AE71" i="3"/>
  <c r="AE18" i="3"/>
  <c r="AE72" i="3"/>
  <c r="AE19" i="3"/>
  <c r="AE20" i="3"/>
  <c r="AE21" i="3"/>
  <c r="AE22" i="3"/>
  <c r="AE23" i="3"/>
  <c r="AE76" i="3"/>
  <c r="AE24" i="3"/>
  <c r="AE25" i="3"/>
  <c r="AF81" i="3"/>
  <c r="AF43" i="3"/>
  <c r="AF42" i="3"/>
  <c r="AF52" i="3"/>
  <c r="AF36" i="3"/>
  <c r="AF45" i="3"/>
  <c r="AF44" i="3"/>
  <c r="AF55" i="3"/>
  <c r="AF54" i="3"/>
  <c r="AF37" i="3"/>
  <c r="AF47" i="3"/>
  <c r="AF46" i="3"/>
  <c r="AF57" i="3"/>
  <c r="AF56" i="3"/>
  <c r="AF38" i="3"/>
  <c r="AF48" i="3"/>
  <c r="AF59" i="3"/>
  <c r="AF58" i="3"/>
  <c r="AF39" i="3"/>
  <c r="AF40" i="3"/>
  <c r="AF13" i="3"/>
  <c r="AF14" i="3"/>
  <c r="AF15" i="3"/>
  <c r="AF70"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4" i="3"/>
  <c r="AB15" i="3"/>
  <c r="AB17" i="3"/>
  <c r="AB18" i="3"/>
  <c r="AB19"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Y82" i="3"/>
  <c r="Y29" i="3"/>
  <c r="Z79" i="3"/>
  <c r="Z80" i="3"/>
  <c r="Z82" i="3"/>
  <c r="Z29" i="3"/>
  <c r="AA79" i="3"/>
  <c r="AA80" i="3"/>
  <c r="AA82" i="3"/>
  <c r="AA29" i="3"/>
  <c r="AB29" i="3"/>
  <c r="AC79" i="3"/>
  <c r="AC80" i="3"/>
  <c r="AC82" i="3"/>
  <c r="AC29" i="3"/>
  <c r="AD79" i="3"/>
  <c r="AD80" i="3"/>
  <c r="AD82" i="3"/>
  <c r="AD29" i="3"/>
  <c r="AE79" i="3"/>
  <c r="AE80" i="3"/>
  <c r="AE82" i="3"/>
  <c r="AE29" i="3"/>
  <c r="AF79" i="3"/>
  <c r="AF80" i="3"/>
  <c r="AF82" i="3"/>
  <c r="AF29" i="3"/>
  <c r="AG29" i="3"/>
  <c r="U31" i="3"/>
  <c r="V31" i="3"/>
  <c r="X31" i="3"/>
  <c r="Y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<sst xmlns="http://schemas.openxmlformats.org/spreadsheetml/2006/main" count="439" uniqueCount="157">
  <si>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</si>
  <si>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</si>
  <si>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</si>
  <si>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</si>
  <si>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</si>
  <si>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</si>
  <si>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</si>
  <si>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</si>
  <si>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</si>
  <si>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</si>
  <si>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</si>
  <si>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</si>
  <si>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</si>
  <si>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</si>
  <si>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</si>
  <si>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</si>
  <si>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</si>
  <si>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</si>
  <si>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</si>
  <si>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</si>
  <si>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</si>
  <si>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</si>
  <si>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</si>
  <si>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</si>
  <si>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</si>
  <si>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</si>
  <si>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</si>
  <si>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</si>
  <si>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</si>
  <si>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</si>
  <si>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</si>
  <si>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</si>
  <si>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</si>
  <si>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</si>
  <si>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</si>
  <si>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</si>
  <si>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</si>
  <si>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</si>
  <si>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</si>
  <si>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</si>
  <si>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</si>
  <si>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</si>
  <si>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</si>
  <si>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</si>
  <si>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</si>
  <si>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</si>
  <si>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</si>
  <si>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</si>
  <si>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</si>
  <si>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</si>
  <si>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</si>
  <si>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</si>
  <si>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</si>
  <si>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</si>
  <si>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</si>
  <si>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</si>
  <si>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</si>
  <si>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</si>
  <si>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</si>
  <si>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</si>
  <si>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</si>
  <si>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</si>
  <si>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</si>
  <si>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</si>
  <si>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</si>
  <si>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</si>
  <si>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</si>
  <si>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</si>
  <si>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</si>
  <si>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</si>
  <si>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</si>
  <si>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</si>
  <si>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</si>
  <si>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</si>
  <si>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</si>
  <si>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</si>
  <si>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</si>
  <si>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</si>
  <si>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</si>
  <si>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</si>
  <si>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</si>
  <si>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</si>
  <si>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</si>
  <si>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</si>
  <si>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</si>
  <si>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</si>
  <si>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</si>
  <si>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</si>
  <si>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</si>
  <si>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</si>
  <si>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</si>
  <si>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</si>
  <si>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</si>
  <si>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</si>
  <si>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</si>
  <si>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</si>
  <si>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</si>
  <si>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</si>
  <si>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</si>
  <si>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</si>
  <si>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</si>
  <si>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</si>
  <si>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</si>
  <si>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</si>
  <si>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</si>
  <si>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</si>
  <si>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</si>
  <si>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</si>
  <si>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</si>
  <si>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</si>
  <si>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</si>
  <si>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</si>
  <si>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</si>
  <si>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</si>
  <si>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</si>
  <si>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</si>
  <si>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</si>
  <si>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</si>
  <si>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</si>
  <si>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</si>
  <si>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</si>
  <si>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</si>
  <si>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</si>
  <si>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</si>
  <si>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</si>
  <si>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</si>
  <si>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</si>
  <si>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</si>
  <si>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</si>
  <si>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</si>
  <si>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</si>
  <si>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</si>
  <si>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</si>
  <si>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</si>
  <si>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</si>
  <si>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</si>
  <si>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</si>
  <si>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</si>
  <si>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</si>
  <si>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</si>
  <si>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</si>
  <si>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</si>
  <si>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</si>
  <si>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</si>
  <si>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</si>
  <si>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</si>
  <si>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</si>
  <si>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</si>
  <si>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</si>
  <si>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</si>
  <si>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</si>
  <si>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</si>
  <si>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</si>
  <si>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</si>
  <si>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</si>
  <si>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</si>
  <si>
    <t xml:space="preserve">Rahul Prasad- Facebook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</si>
</sst>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sz val="16"/>
      <name val="Calibri (Body)"/>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78"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2645.2023902215874</c:v>
                </c:pt>
                <c:pt idx="5">
                  <c:v>2638.056932173758</c:v>
                </c:pt>
                <c:pt idx="6">
                  <c:v>2689.7352918166084</c:v>
                </c:pt>
                <c:pt idx="7">
                  <c:v>2798.2188858869727</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7.3195551759133632</c:v>
                </c:pt>
                <c:pt idx="5">
                  <c:v>7.5358784683896847</c:v>
                </c:pt>
                <c:pt idx="6">
                  <c:v>9.2189750208785188</c:v>
                </c:pt>
                <c:pt idx="7">
                  <c:v>8.0978518555551062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ColWidth="8.77734375" defaultRowHeight="14.4"/>
  <cols>
    <col min="1" max="1" width="1" customWidth="1"/>
    <col min="2" max="2" width="182.6640625" style="118" customWidth="1"/>
  </cols>
  <sheetData>
    <row r="2" spans="2:2" ht="21">
      <c r="B2" s="123" t="s">
        <v>118</v>
      </c>
    </row>
    <row r="3" spans="2:2" ht="115.2">
      <c r="B3" s="113" t="s">
        <v>151</v>
      </c>
    </row>
    <row r="4" spans="2:2" ht="43.2">
      <c r="B4" s="114" t="s">
        <v>119</v>
      </c>
    </row>
    <row r="5" spans="2:2" ht="28.8">
      <c r="B5" s="114" t="s">
        <v>131</v>
      </c>
    </row>
    <row r="6" spans="2:2" ht="100.8">
      <c r="B6" s="114" t="s">
        <v>120</v>
      </c>
    </row>
    <row r="7" spans="2:2" ht="43.2">
      <c r="B7" s="113" t="s">
        <v>139</v>
      </c>
    </row>
    <row r="8" spans="2:2" ht="28.8">
      <c r="B8" s="114" t="s">
        <v>121</v>
      </c>
    </row>
    <row r="9" spans="2:2">
      <c r="B9" s="114" t="s">
        <v>122</v>
      </c>
    </row>
    <row r="10" spans="2:2" ht="57.6">
      <c r="B10" s="124" t="s">
        <v>123</v>
      </c>
    </row>
    <row r="11" spans="2:2">
      <c r="B11" s="113" t="s">
        <v>132</v>
      </c>
    </row>
    <row r="12" spans="2:2">
      <c r="B12" s="114" t="s">
        <v>124</v>
      </c>
    </row>
    <row r="13" spans="2:2" ht="43.2">
      <c r="B13" s="113" t="s">
        <v>133</v>
      </c>
    </row>
    <row r="14" spans="2:2">
      <c r="B14" s="125" t="s">
        <v>125</v>
      </c>
    </row>
    <row r="15" spans="2:2">
      <c r="B15" s="115" t="s">
        <v>126</v>
      </c>
    </row>
    <row r="16" spans="2:2">
      <c r="B16" s="115" t="s">
        <v>127</v>
      </c>
    </row>
    <row r="17" spans="2:2" ht="162" customHeight="1">
      <c r="B17" s="126" t="s">
        <v>128</v>
      </c>
    </row>
    <row r="18" spans="2:2">
      <c r="B18" s="116" t="s">
        <v>129</v>
      </c>
    </row>
    <row r="19" spans="2:2">
      <c r="B19" s="117" t="s">
        <v>130</v>
      </c>
    </row>
    <row r="21" spans="2:2" ht="21">
      <c r="B21" s="123" t="s">
        <v>134</v>
      </c>
    </row>
    <row r="22" spans="2:2">
      <c r="B22" s="119" t="s">
        <v>135</v>
      </c>
    </row>
    <row r="23" spans="2:2" ht="100.8">
      <c r="B23" s="120" t="s">
        <v>136</v>
      </c>
    </row>
    <row r="24" spans="2:2" ht="43.2">
      <c r="B24" s="121" t="s">
        <v>137</v>
      </c>
    </row>
    <row r="25" spans="2:2" ht="172.8">
      <c r="B25" s="122" t="s">
        <v>138</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U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c r="B1" s="127" t="s">
        <v>14</v>
      </c>
    </row>
    <row r="2" spans="1:61" ht="27.6" customHeight="1">
      <c r="B2" s="192" t="s">
        <v>156</v>
      </c>
      <c r="C2" s="193"/>
      <c r="K2" s="12"/>
    </row>
    <row r="3" spans="1:61">
      <c r="B3" s="204" t="s">
        <v>153</v>
      </c>
      <c r="C3" s="205"/>
      <c r="D3" s="13"/>
      <c r="G3" s="14"/>
      <c r="H3" s="14"/>
    </row>
    <row r="4" spans="1:61">
      <c r="B4" s="206" t="s">
        <v>154</v>
      </c>
      <c r="C4" s="207"/>
      <c r="D4" s="13"/>
      <c r="G4" s="14"/>
      <c r="H4" s="14"/>
      <c r="BI4" s="4" t="s">
        <v>14</v>
      </c>
    </row>
    <row r="5" spans="1:61">
      <c r="B5" s="208" t="s">
        <v>155</v>
      </c>
      <c r="C5" s="209"/>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c r="B10" s="127" t="s">
        <v>14</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c r="A11" s="187"/>
      <c r="B11" s="185" t="s">
        <v>73</v>
      </c>
      <c r="C11" s="186"/>
      <c r="D11" s="26" t="s">
        <v>44</v>
      </c>
      <c r="E11" s="26" t="s">
        <v>45</v>
      </c>
      <c r="F11" s="26" t="s">
        <v>46</v>
      </c>
      <c r="G11" s="26" t="s">
        <v>47</v>
      </c>
      <c r="H11" s="79" t="s">
        <v>47</v>
      </c>
      <c r="I11" s="26" t="s">
        <v>31</v>
      </c>
      <c r="J11" s="26" t="s">
        <v>36</v>
      </c>
      <c r="K11" s="26" t="s">
        <v>37</v>
      </c>
      <c r="L11" s="26" t="s">
        <v>38</v>
      </c>
      <c r="M11" s="79" t="s">
        <v>38</v>
      </c>
      <c r="N11" s="26" t="s">
        <v>33</v>
      </c>
      <c r="O11" s="26" t="s">
        <v>32</v>
      </c>
      <c r="P11" s="26" t="s">
        <v>34</v>
      </c>
      <c r="Q11" s="26" t="s">
        <v>35</v>
      </c>
      <c r="R11" s="79" t="s">
        <v>35</v>
      </c>
      <c r="S11" s="26" t="s">
        <v>53</v>
      </c>
      <c r="T11" s="26" t="s">
        <v>54</v>
      </c>
      <c r="U11" s="26" t="s">
        <v>55</v>
      </c>
      <c r="V11" s="26" t="s">
        <v>56</v>
      </c>
      <c r="W11" s="79" t="s">
        <v>56</v>
      </c>
      <c r="X11" s="26" t="s">
        <v>57</v>
      </c>
      <c r="Y11" s="28" t="s">
        <v>58</v>
      </c>
      <c r="Z11" s="28" t="s">
        <v>59</v>
      </c>
      <c r="AA11" s="28" t="s">
        <v>60</v>
      </c>
      <c r="AB11" s="81" t="s">
        <v>60</v>
      </c>
      <c r="AC11" s="28" t="s">
        <v>61</v>
      </c>
      <c r="AD11" s="28" t="s">
        <v>62</v>
      </c>
      <c r="AE11" s="28" t="s">
        <v>63</v>
      </c>
      <c r="AF11" s="28" t="s">
        <v>64</v>
      </c>
      <c r="AG11" s="81" t="s">
        <v>64</v>
      </c>
    </row>
    <row r="12" spans="1:61" ht="17.55" customHeight="1">
      <c r="A12" s="187"/>
      <c r="B12" s="202" t="s">
        <v>3</v>
      </c>
      <c r="C12" s="203"/>
      <c r="D12" s="27" t="s">
        <v>48</v>
      </c>
      <c r="E12" s="27" t="s">
        <v>49</v>
      </c>
      <c r="F12" s="27" t="s">
        <v>50</v>
      </c>
      <c r="G12" s="27" t="s">
        <v>51</v>
      </c>
      <c r="H12" s="80" t="s">
        <v>52</v>
      </c>
      <c r="I12" s="27" t="s">
        <v>39</v>
      </c>
      <c r="J12" s="27" t="s">
        <v>40</v>
      </c>
      <c r="K12" s="27" t="s">
        <v>41</v>
      </c>
      <c r="L12" s="27" t="s">
        <v>42</v>
      </c>
      <c r="M12" s="80" t="s">
        <v>43</v>
      </c>
      <c r="N12" s="27" t="s">
        <v>30</v>
      </c>
      <c r="O12" s="27" t="s">
        <v>29</v>
      </c>
      <c r="P12" s="27" t="s">
        <v>28</v>
      </c>
      <c r="Q12" s="27" t="s">
        <v>27</v>
      </c>
      <c r="R12" s="80" t="s">
        <v>26</v>
      </c>
      <c r="S12" s="27" t="s">
        <v>140</v>
      </c>
      <c r="T12" s="27" t="s">
        <v>146</v>
      </c>
      <c r="U12" s="27" t="s">
        <v>147</v>
      </c>
      <c r="V12" s="27" t="s">
        <v>148</v>
      </c>
      <c r="W12" s="80" t="s">
        <v>149</v>
      </c>
      <c r="X12" s="27" t="s">
        <v>150</v>
      </c>
      <c r="Y12" s="25" t="s">
        <v>105</v>
      </c>
      <c r="Z12" s="25" t="s">
        <v>106</v>
      </c>
      <c r="AA12" s="25" t="s">
        <v>107</v>
      </c>
      <c r="AB12" s="82" t="s">
        <v>108</v>
      </c>
      <c r="AC12" s="25" t="s">
        <v>109</v>
      </c>
      <c r="AD12" s="25" t="s">
        <v>110</v>
      </c>
      <c r="AE12" s="25" t="s">
        <v>111</v>
      </c>
      <c r="AF12" s="25" t="s">
        <v>112</v>
      </c>
      <c r="AG12" s="82" t="s">
        <v>113</v>
      </c>
    </row>
    <row r="13" spans="1:61">
      <c r="A13" s="138"/>
      <c r="B13" s="190" t="s">
        <v>18</v>
      </c>
      <c r="C13" s="191"/>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19207.253484793655</v>
      </c>
      <c r="Z13" s="133">
        <f t="shared" si="0"/>
        <v>19907.00008527908</v>
      </c>
      <c r="AA13" s="133">
        <f t="shared" si="0"/>
        <v>24558.391714698999</v>
      </c>
      <c r="AB13" s="128">
        <f>SUM(X13:AA13)</f>
        <v>81409.64528477173</v>
      </c>
      <c r="AC13" s="133">
        <f t="shared" ref="AC13:AF13" si="1">+AC40</f>
        <v>22220.319960559173</v>
      </c>
      <c r="AD13" s="133">
        <f t="shared" si="1"/>
        <v>24361.058268496938</v>
      </c>
      <c r="AE13" s="133">
        <f t="shared" si="1"/>
        <v>25626.512801845671</v>
      </c>
      <c r="AF13" s="133">
        <f t="shared" si="1"/>
        <v>32971.903808315918</v>
      </c>
      <c r="AG13" s="128">
        <f>SUM(AC13:AF13)</f>
        <v>105179.79483921771</v>
      </c>
    </row>
    <row r="14" spans="1:61" ht="16.2">
      <c r="A14" s="138"/>
      <c r="B14" s="70" t="s">
        <v>66</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3841.4506969587301</v>
      </c>
      <c r="Z14" s="135">
        <f>+Z13*(1-Z69)</f>
        <v>4080.9350174822107</v>
      </c>
      <c r="AA14" s="135">
        <f>+AA13*(1-AA69)</f>
        <v>4666.0944257928086</v>
      </c>
      <c r="AB14" s="129">
        <f>SUM(X14:AA14)</f>
        <v>16047.480140233751</v>
      </c>
      <c r="AC14" s="34">
        <f>+AC13*(1-AC69)</f>
        <v>4332.9623923090376</v>
      </c>
      <c r="AD14" s="34">
        <f>+AD13*(1-AD69)</f>
        <v>4506.7957796719347</v>
      </c>
      <c r="AE14" s="34">
        <f>+AE13*(1-AE69)</f>
        <v>4740.9048683414503</v>
      </c>
      <c r="AF14" s="34">
        <f>+AF13*(1-AF69)</f>
        <v>6099.8022045384469</v>
      </c>
      <c r="AG14" s="129">
        <f>SUM(AC14:AF14)</f>
        <v>19680.465244860869</v>
      </c>
    </row>
    <row r="15" spans="1:61" s="21" customFormat="1">
      <c r="A15" s="141"/>
      <c r="B15" s="73" t="s">
        <v>65</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15365.802787834924</v>
      </c>
      <c r="Z15" s="40">
        <f t="shared" ref="Z15" si="13">+Z13-Z14</f>
        <v>15826.06506779687</v>
      </c>
      <c r="AA15" s="40">
        <f t="shared" ref="AA15" si="14">+AA13-AA14</f>
        <v>19892.297288906189</v>
      </c>
      <c r="AB15" s="130">
        <f>+AB13-AB14</f>
        <v>65362.165144537983</v>
      </c>
      <c r="AC15" s="40">
        <f>+AC13-AC14</f>
        <v>17887.357568250136</v>
      </c>
      <c r="AD15" s="40">
        <f t="shared" ref="AD15" si="15">+AD13-AD14</f>
        <v>19854.262488825003</v>
      </c>
      <c r="AE15" s="40">
        <f t="shared" ref="AE15" si="16">+AE13-AE14</f>
        <v>20885.60793350422</v>
      </c>
      <c r="AF15" s="40">
        <f t="shared" ref="AF15" si="17">+AF13-AF14</f>
        <v>26872.101603777472</v>
      </c>
      <c r="AG15" s="130">
        <f>+AG13-AG14</f>
        <v>85499.329594356837</v>
      </c>
    </row>
    <row r="16" spans="1:61">
      <c r="A16" s="138"/>
      <c r="B16" s="31" t="s">
        <v>20</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c r="A17" s="138"/>
      <c r="B17" s="75" t="s">
        <v>67</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4225.5957666546037</v>
      </c>
      <c r="Z17" s="29">
        <f>+Z13*Z70</f>
        <v>4678.1450200405834</v>
      </c>
      <c r="AA17" s="29">
        <f>+AA13*AA70</f>
        <v>5402.8461772337796</v>
      </c>
      <c r="AB17" s="128">
        <f t="shared" ref="AB17:AB19" si="22">SUM(X17:AA17)</f>
        <v>18321.586963928967</v>
      </c>
      <c r="AC17" s="29">
        <f>+AC13*AC70</f>
        <v>5221.775190731405</v>
      </c>
      <c r="AD17" s="29">
        <f>+AD13*AD70</f>
        <v>5359.4328190693259</v>
      </c>
      <c r="AE17" s="29">
        <f>+AE13*AE70</f>
        <v>5637.8328164060476</v>
      </c>
      <c r="AF17" s="29">
        <f>+AF13*AF70</f>
        <v>7253.8188378295017</v>
      </c>
      <c r="AG17" s="128">
        <f t="shared" ref="AG17:AG19" si="23">SUM(AC17:AF17)</f>
        <v>23472.859664036281</v>
      </c>
    </row>
    <row r="18" spans="1:33">
      <c r="A18" s="138"/>
      <c r="B18" s="75" t="s">
        <v>68</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3073.1605575669851</v>
      </c>
      <c r="Z18" s="29">
        <f>+Z13*Z71</f>
        <v>3284.6550140710483</v>
      </c>
      <c r="AA18" s="29">
        <f>+AA13*AA71</f>
        <v>3683.7587572048496</v>
      </c>
      <c r="AB18" s="128">
        <f t="shared" si="22"/>
        <v>12828.574328842882</v>
      </c>
      <c r="AC18" s="29">
        <f>+AC13*AC71</f>
        <v>3644.1324735317044</v>
      </c>
      <c r="AD18" s="29">
        <f>+AD13*AD71</f>
        <v>3897.7693229595102</v>
      </c>
      <c r="AE18" s="29">
        <f>+AE13*AE71</f>
        <v>4100.2420482953075</v>
      </c>
      <c r="AF18" s="29">
        <f>+AF13*AF71</f>
        <v>5275.5046093305473</v>
      </c>
      <c r="AG18" s="128">
        <f t="shared" si="23"/>
        <v>16917.648454117068</v>
      </c>
    </row>
    <row r="19" spans="1:33" ht="17.25" customHeight="1">
      <c r="A19" s="138"/>
      <c r="B19" s="75" t="s">
        <v>69</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2304.8704181752387</v>
      </c>
      <c r="Z19" s="34">
        <f>Z13*Z72</f>
        <v>1771.7230075898381</v>
      </c>
      <c r="AA19" s="34">
        <f>AA13*AA72</f>
        <v>1940.112945461221</v>
      </c>
      <c r="AB19" s="129">
        <f t="shared" si="22"/>
        <v>7599.706371226298</v>
      </c>
      <c r="AC19" s="34">
        <f>AC13*AC72</f>
        <v>1999.8287964503254</v>
      </c>
      <c r="AD19" s="34">
        <f>AD13*AD72</f>
        <v>1948.8846614797551</v>
      </c>
      <c r="AE19" s="34">
        <f>AE13*AE72</f>
        <v>2050.1210241476538</v>
      </c>
      <c r="AF19" s="34">
        <f>AF13*AF72</f>
        <v>2439.9208818153779</v>
      </c>
      <c r="AG19" s="129">
        <f t="shared" si="23"/>
        <v>8438.7553638931131</v>
      </c>
    </row>
    <row r="20" spans="1:33" s="39" customFormat="1" ht="17.25" customHeight="1">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9603.6267423968275</v>
      </c>
      <c r="Z20" s="37">
        <f t="shared" si="24"/>
        <v>9734.52304170147</v>
      </c>
      <c r="AA20" s="37">
        <f t="shared" si="24"/>
        <v>11026.71787989985</v>
      </c>
      <c r="AB20" s="131">
        <f t="shared" si="24"/>
        <v>38749.86766399815</v>
      </c>
      <c r="AC20" s="37">
        <f t="shared" si="24"/>
        <v>10865.736460713435</v>
      </c>
      <c r="AD20" s="37">
        <f t="shared" si="24"/>
        <v>11206.086803508591</v>
      </c>
      <c r="AE20" s="37">
        <f t="shared" si="24"/>
        <v>11788.195888849008</v>
      </c>
      <c r="AF20" s="37">
        <f t="shared" si="24"/>
        <v>14969.244328975426</v>
      </c>
      <c r="AG20" s="131">
        <f t="shared" si="24"/>
        <v>48829.263482046459</v>
      </c>
    </row>
    <row r="21" spans="1:33">
      <c r="A21" s="138"/>
      <c r="B21" s="90" t="s">
        <v>21</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5762.1760454380965</v>
      </c>
      <c r="Z21" s="40">
        <f t="shared" ref="Z21" si="33">Z15-Z20</f>
        <v>6091.5420260953997</v>
      </c>
      <c r="AA21" s="40">
        <f>AA15-AA20</f>
        <v>8865.5794090063391</v>
      </c>
      <c r="AB21" s="130">
        <f>AB15-AB20</f>
        <v>26612.297480539833</v>
      </c>
      <c r="AC21" s="40">
        <f>AC15-AC20</f>
        <v>7021.6211075367009</v>
      </c>
      <c r="AD21" s="40">
        <f t="shared" ref="AD21" si="34">AD15-AD20</f>
        <v>8648.1756853164115</v>
      </c>
      <c r="AE21" s="40">
        <f t="shared" ref="AE21" si="35">AE15-AE20</f>
        <v>9097.4120446552115</v>
      </c>
      <c r="AF21" s="40">
        <f>AF15-AF20</f>
        <v>11902.857274802045</v>
      </c>
      <c r="AG21" s="130">
        <f>AG15-AG20</f>
        <v>36670.066112310378</v>
      </c>
    </row>
    <row r="22" spans="1:33" ht="16.2">
      <c r="A22" s="138"/>
      <c r="B22" s="70" t="s">
        <v>70</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c r="A23" s="138"/>
      <c r="B23" s="196" t="s">
        <v>22</v>
      </c>
      <c r="C23" s="197"/>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5919.4260454380965</v>
      </c>
      <c r="Z23" s="40">
        <f t="shared" si="42"/>
        <v>6236.6045260953997</v>
      </c>
      <c r="AA23" s="40">
        <f t="shared" si="42"/>
        <v>9010.9075340063391</v>
      </c>
      <c r="AB23" s="130">
        <f t="shared" si="42"/>
        <v>27027.938105539833</v>
      </c>
      <c r="AC23" s="40">
        <f t="shared" si="42"/>
        <v>7125.5312637867009</v>
      </c>
      <c r="AD23" s="40">
        <f t="shared" si="42"/>
        <v>8786.0633806289115</v>
      </c>
      <c r="AE23" s="40">
        <f t="shared" si="42"/>
        <v>9230.4591637958365</v>
      </c>
      <c r="AF23" s="40">
        <f t="shared" si="42"/>
        <v>12032.900548727826</v>
      </c>
      <c r="AG23" s="130">
        <f t="shared" si="42"/>
        <v>37174.954356939284</v>
      </c>
    </row>
    <row r="24" spans="1:33" ht="16.2">
      <c r="A24" s="138"/>
      <c r="B24" s="190" t="s">
        <v>7</v>
      </c>
      <c r="C24" s="191"/>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-1065.4966881788573</v>
      </c>
      <c r="Z24" s="34">
        <f>+Z23*-Z76</f>
        <v>-1122.588814697172</v>
      </c>
      <c r="AA24" s="34">
        <f>+AA23*-AA76</f>
        <v>-1621.963356121141</v>
      </c>
      <c r="AB24" s="129">
        <f>SUM(X24:AA24)</f>
        <v>-4769.0488589971701</v>
      </c>
      <c r="AC24" s="34">
        <f>+AC23*-AC76</f>
        <v>-1253.4236222479324</v>
      </c>
      <c r="AD24" s="34">
        <f>+AD23*-AD76</f>
        <v>-1594.1812752449327</v>
      </c>
      <c r="AE24" s="34">
        <f>+AE23*-AE76</f>
        <v>-1678.1472937594747</v>
      </c>
      <c r="AF24" s="34">
        <f>+AF23*-AF76</f>
        <v>-2193.0773035795405</v>
      </c>
      <c r="AG24" s="129">
        <f>SUM(AC24:AF24)</f>
        <v>-6718.8294948318799</v>
      </c>
    </row>
    <row r="25" spans="1:33">
      <c r="A25" s="145"/>
      <c r="B25" s="196" t="s">
        <v>8</v>
      </c>
      <c r="C25" s="197"/>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4853.9293572592396</v>
      </c>
      <c r="Z25" s="40">
        <f t="shared" si="43"/>
        <v>5114.0157113982277</v>
      </c>
      <c r="AA25" s="40">
        <f t="shared" si="43"/>
        <v>7388.9441778851979</v>
      </c>
      <c r="AB25" s="130">
        <f t="shared" si="43"/>
        <v>22258.889246542662</v>
      </c>
      <c r="AC25" s="40">
        <f t="shared" si="43"/>
        <v>5872.1076415387688</v>
      </c>
      <c r="AD25" s="40">
        <f t="shared" si="43"/>
        <v>7191.8821053839783</v>
      </c>
      <c r="AE25" s="40">
        <f t="shared" si="43"/>
        <v>7552.3118700363621</v>
      </c>
      <c r="AF25" s="40">
        <f t="shared" si="43"/>
        <v>9839.8232451482854</v>
      </c>
      <c r="AG25" s="130">
        <f t="shared" si="43"/>
        <v>30456.124862107405</v>
      </c>
    </row>
    <row r="26" spans="1:33" ht="16.2">
      <c r="A26" s="145"/>
      <c r="B26" s="47" t="s">
        <v>71</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c r="A27" s="163"/>
      <c r="B27" s="78" t="s">
        <v>72</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4853.9293572592396</v>
      </c>
      <c r="Z27" s="40">
        <f t="shared" ref="Z27" si="58">+Z25-Z26</f>
        <v>5114.0157113982277</v>
      </c>
      <c r="AA27" s="40">
        <f t="shared" ref="AA27" si="59">+AA25-AA26</f>
        <v>7388.9441778851979</v>
      </c>
      <c r="AB27" s="130">
        <f t="shared" ref="AB27" si="60">+AB25-AB26</f>
        <v>22258.889246542662</v>
      </c>
      <c r="AC27" s="40">
        <f t="shared" ref="AC27" si="61">+AC25-AC26</f>
        <v>5872.1076415387688</v>
      </c>
      <c r="AD27" s="40">
        <f t="shared" ref="AD27" si="62">+AD25-AD26</f>
        <v>7191.8821053839783</v>
      </c>
      <c r="AE27" s="40">
        <f t="shared" ref="AE27" si="63">+AE25-AE26</f>
        <v>7552.3118700363621</v>
      </c>
      <c r="AF27" s="40">
        <f t="shared" ref="AF27" si="64">+AF25-AF26</f>
        <v>9839.8232451482854</v>
      </c>
      <c r="AG27" s="130">
        <f t="shared" ref="AG27" si="65">+AG25-AG26</f>
        <v>30456.124862107405</v>
      </c>
    </row>
    <row r="28" spans="1:33">
      <c r="A28" s="138"/>
      <c r="B28" s="190" t="s">
        <v>0</v>
      </c>
      <c r="C28" s="191"/>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28">
        <f>(X28*X25/AB25)+(Y28*Y25/AB25)+(Z28*Z25/AB25)+(AA28*AA25/AB25)</f>
        <v>2850.5618461588024</v>
      </c>
      <c r="AC28" s="29">
        <f>AA28*(1+AC78)-AC82</f>
        <v>2849.3922774117996</v>
      </c>
      <c r="AD28" s="29">
        <f>AC28*(1+AD78)-AD82</f>
        <v>2848.9882114477409</v>
      </c>
      <c r="AE28" s="29">
        <f>AD28*(1+AE78)-AE82</f>
        <v>2848.5294457688351</v>
      </c>
      <c r="AF28" s="29">
        <f>AE28*(1+AF78)-AF82</f>
        <v>2848.0301025614267</v>
      </c>
      <c r="AG28" s="128">
        <f>(AC28*AC25/AG25)+(AD28*AD25/AG25)+(AE28*AE25/AG25)+(AF28*AF25/AG25)</f>
        <v>2848.6428081902441</v>
      </c>
    </row>
    <row r="29" spans="1:33" ht="15.75" customHeight="1">
      <c r="A29" s="138"/>
      <c r="B29" s="190" t="s">
        <v>1</v>
      </c>
      <c r="C29" s="191"/>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28">
        <f>(X29*X25/AB25)+(Y29*Y25/AB25)+(Z29*Z25/AB25)+(AA29*AA25/AB25)</f>
        <v>2867.8574058364738</v>
      </c>
      <c r="AC29" s="29">
        <f>AA29*(1+AC79)-AC82</f>
        <v>2864.0028809299311</v>
      </c>
      <c r="AD29" s="29">
        <f>AC29*(1+AD79)-AD82</f>
        <v>2862.9974369475908</v>
      </c>
      <c r="AE29" s="29">
        <f>AD29*(1+AE79)-AE82</f>
        <v>2861.5372180930599</v>
      </c>
      <c r="AF29" s="29">
        <f>AE29*(1+AF79)-AF82</f>
        <v>2859.9107556607837</v>
      </c>
      <c r="AG29" s="128">
        <f>(AC29*AC25/AG25)+(AD29*AD25/AG25)+(AE29*AE25/AG25)+(AF29*AF25/AG25)</f>
        <v>2861.8319455617657</v>
      </c>
    </row>
    <row r="30" spans="1:33" ht="15.75" customHeight="1">
      <c r="A30" s="138"/>
      <c r="B30" s="200" t="s">
        <v>9</v>
      </c>
      <c r="C30" s="201"/>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1.7026463256389273</v>
      </c>
      <c r="Z30" s="43">
        <f t="shared" si="66"/>
        <v>1.7940651182578733</v>
      </c>
      <c r="AA30" s="43">
        <f t="shared" si="66"/>
        <v>2.59248916442785</v>
      </c>
      <c r="AB30" s="132">
        <f t="shared" si="66"/>
        <v>7.8085971986670017</v>
      </c>
      <c r="AC30" s="43">
        <f t="shared" si="66"/>
        <v>2.0608280888837829</v>
      </c>
      <c r="AD30" s="43">
        <f t="shared" si="66"/>
        <v>2.5243635886191869</v>
      </c>
      <c r="AE30" s="43">
        <f t="shared" si="66"/>
        <v>2.6513020187502216</v>
      </c>
      <c r="AF30" s="43">
        <f t="shared" si="66"/>
        <v>3.4549575990431647</v>
      </c>
      <c r="AG30" s="132">
        <f t="shared" si="66"/>
        <v>10.691450951499364</v>
      </c>
    </row>
    <row r="31" spans="1:33">
      <c r="A31" s="138"/>
      <c r="B31" s="198" t="s">
        <v>10</v>
      </c>
      <c r="C31" s="199"/>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1.6919622209898491</v>
      </c>
      <c r="Z31" s="137">
        <f t="shared" si="67"/>
        <v>1.7831153290957893</v>
      </c>
      <c r="AA31" s="137">
        <f t="shared" si="67"/>
        <v>2.5772227277958715</v>
      </c>
      <c r="AB31" s="158">
        <f t="shared" si="67"/>
        <v>7.7615048786047875</v>
      </c>
      <c r="AC31" s="137">
        <f t="shared" si="67"/>
        <v>2.0503148515102461</v>
      </c>
      <c r="AD31" s="137">
        <f t="shared" si="67"/>
        <v>2.5120113670278603</v>
      </c>
      <c r="AE31" s="137">
        <f t="shared" si="67"/>
        <v>2.639249918639623</v>
      </c>
      <c r="AF31" s="137">
        <f t="shared" si="67"/>
        <v>3.4406049998839174</v>
      </c>
      <c r="AG31" s="158">
        <f t="shared" si="67"/>
        <v>10.642177962035781</v>
      </c>
    </row>
    <row r="32" spans="1:33">
      <c r="B32" s="46"/>
      <c r="C32" s="127" t="s">
        <v>14</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c r="A33" s="138"/>
      <c r="B33" s="185" t="s">
        <v>24</v>
      </c>
      <c r="C33" s="186"/>
      <c r="D33" s="26" t="s">
        <v>44</v>
      </c>
      <c r="E33" s="26" t="s">
        <v>45</v>
      </c>
      <c r="F33" s="26" t="s">
        <v>46</v>
      </c>
      <c r="G33" s="26" t="s">
        <v>47</v>
      </c>
      <c r="H33" s="79" t="s">
        <v>47</v>
      </c>
      <c r="I33" s="26" t="s">
        <v>31</v>
      </c>
      <c r="J33" s="26" t="s">
        <v>36</v>
      </c>
      <c r="K33" s="26" t="s">
        <v>37</v>
      </c>
      <c r="L33" s="26" t="s">
        <v>38</v>
      </c>
      <c r="M33" s="79" t="s">
        <v>38</v>
      </c>
      <c r="N33" s="26" t="s">
        <v>33</v>
      </c>
      <c r="O33" s="26" t="s">
        <v>32</v>
      </c>
      <c r="P33" s="26" t="s">
        <v>34</v>
      </c>
      <c r="Q33" s="26" t="s">
        <v>35</v>
      </c>
      <c r="R33" s="79" t="s">
        <v>35</v>
      </c>
      <c r="S33" s="26" t="s">
        <v>53</v>
      </c>
      <c r="T33" s="26" t="s">
        <v>54</v>
      </c>
      <c r="U33" s="26" t="s">
        <v>55</v>
      </c>
      <c r="V33" s="26" t="s">
        <v>56</v>
      </c>
      <c r="W33" s="79" t="s">
        <v>56</v>
      </c>
      <c r="X33" s="26" t="s">
        <v>57</v>
      </c>
      <c r="Y33" s="28" t="s">
        <v>58</v>
      </c>
      <c r="Z33" s="28" t="s">
        <v>59</v>
      </c>
      <c r="AA33" s="28" t="s">
        <v>60</v>
      </c>
      <c r="AB33" s="81" t="s">
        <v>60</v>
      </c>
      <c r="AC33" s="28" t="s">
        <v>61</v>
      </c>
      <c r="AD33" s="28" t="s">
        <v>62</v>
      </c>
      <c r="AE33" s="28" t="s">
        <v>63</v>
      </c>
      <c r="AF33" s="28" t="s">
        <v>64</v>
      </c>
      <c r="AG33" s="81" t="s">
        <v>64</v>
      </c>
    </row>
    <row r="34" spans="1:33" ht="16.2">
      <c r="A34" s="138"/>
      <c r="B34" s="202"/>
      <c r="C34" s="203"/>
      <c r="D34" s="27" t="s">
        <v>48</v>
      </c>
      <c r="E34" s="27" t="s">
        <v>49</v>
      </c>
      <c r="F34" s="27" t="s">
        <v>50</v>
      </c>
      <c r="G34" s="27" t="s">
        <v>51</v>
      </c>
      <c r="H34" s="80" t="s">
        <v>52</v>
      </c>
      <c r="I34" s="27" t="s">
        <v>39</v>
      </c>
      <c r="J34" s="27" t="s">
        <v>40</v>
      </c>
      <c r="K34" s="27" t="s">
        <v>41</v>
      </c>
      <c r="L34" s="27" t="s">
        <v>42</v>
      </c>
      <c r="M34" s="80" t="s">
        <v>43</v>
      </c>
      <c r="N34" s="27" t="s">
        <v>30</v>
      </c>
      <c r="O34" s="27" t="s">
        <v>29</v>
      </c>
      <c r="P34" s="27" t="s">
        <v>28</v>
      </c>
      <c r="Q34" s="27" t="s">
        <v>27</v>
      </c>
      <c r="R34" s="80" t="s">
        <v>26</v>
      </c>
      <c r="S34" s="27" t="s">
        <v>140</v>
      </c>
      <c r="T34" s="27" t="s">
        <v>146</v>
      </c>
      <c r="U34" s="27" t="s">
        <v>147</v>
      </c>
      <c r="V34" s="27" t="s">
        <v>148</v>
      </c>
      <c r="W34" s="80" t="s">
        <v>149</v>
      </c>
      <c r="X34" s="27" t="s">
        <v>150</v>
      </c>
      <c r="Y34" s="25" t="s">
        <v>105</v>
      </c>
      <c r="Z34" s="25" t="s">
        <v>106</v>
      </c>
      <c r="AA34" s="25" t="s">
        <v>107</v>
      </c>
      <c r="AB34" s="82" t="s">
        <v>108</v>
      </c>
      <c r="AC34" s="25" t="s">
        <v>109</v>
      </c>
      <c r="AD34" s="25" t="s">
        <v>110</v>
      </c>
      <c r="AE34" s="25" t="s">
        <v>111</v>
      </c>
      <c r="AF34" s="25" t="s">
        <v>112</v>
      </c>
      <c r="AG34" s="82" t="s">
        <v>113</v>
      </c>
    </row>
    <row r="35" spans="1:33" ht="15.6">
      <c r="A35" s="138"/>
      <c r="B35" s="185" t="s">
        <v>145</v>
      </c>
      <c r="C35" s="186"/>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c r="A36" s="138"/>
      <c r="B36" s="70" t="s">
        <v>74</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9192.0219120000002</v>
      </c>
      <c r="Z36" s="64">
        <f>+((Z42+Y42)/2)*Z52</f>
        <v>9645.0304777403671</v>
      </c>
      <c r="AA36" s="64">
        <f>+((AA42+Z42)/2)*AA52</f>
        <v>12014.825487497194</v>
      </c>
      <c r="AB36" s="19"/>
      <c r="AC36" s="64">
        <f>+((AC42+AA42)/2)*AC52</f>
        <v>10759.122293999999</v>
      </c>
      <c r="AD36" s="64">
        <f>+((AD42+AC42)/2)*AD52</f>
        <v>11550.694734619201</v>
      </c>
      <c r="AE36" s="64">
        <f>+((AE42+AD42)/2)*AE52</f>
        <v>12119.945298328543</v>
      </c>
      <c r="AF36" s="64">
        <f>+((AF42+AE42)/2)*AF52</f>
        <v>15840.345922716298</v>
      </c>
      <c r="AG36" s="19"/>
    </row>
    <row r="37" spans="1:33" outlineLevel="1">
      <c r="A37" s="138"/>
      <c r="B37" s="70" t="s">
        <v>75</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4616.7611000000006</v>
      </c>
      <c r="Z37" s="64">
        <f t="shared" ref="Z37:AA37" si="68">+((Z44+Y44)/2)*Z54</f>
        <v>4523.0902612374584</v>
      </c>
      <c r="AA37" s="64">
        <f t="shared" si="68"/>
        <v>5859.5224274139482</v>
      </c>
      <c r="AB37" s="19"/>
      <c r="AC37" s="64">
        <f>+((AC44+AA44)/2)*AC54</f>
        <v>5231.108637844306</v>
      </c>
      <c r="AD37" s="64">
        <f>+((AD44+AC44)/2)*AD54</f>
        <v>5823.1254691667218</v>
      </c>
      <c r="AE37" s="64">
        <f t="shared" ref="AE37:AF37" si="69">+((AE44+AD44)/2)*AE54</f>
        <v>5859.8786117050668</v>
      </c>
      <c r="AF37" s="64">
        <f t="shared" si="69"/>
        <v>7880.0305008566738</v>
      </c>
      <c r="AG37" s="19"/>
    </row>
    <row r="38" spans="1:33" outlineLevel="1">
      <c r="A38" s="138"/>
      <c r="B38" s="70" t="s">
        <v>76</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3504.2133347936538</v>
      </c>
      <c r="Z38" s="64">
        <f t="shared" ref="Z38:AA38" si="70">+((Z46+Y46)/2)*Z56</f>
        <v>3733.4816859652719</v>
      </c>
      <c r="AA38" s="64">
        <f t="shared" si="70"/>
        <v>4358.9982553942073</v>
      </c>
      <c r="AB38" s="19"/>
      <c r="AC38" s="64">
        <f>+((AC46+AA46)/2)*AC56</f>
        <v>4181.9475489413826</v>
      </c>
      <c r="AD38" s="64">
        <f>+((AD46+AC46)/2)*AD56</f>
        <v>4609.0096226003652</v>
      </c>
      <c r="AE38" s="64">
        <f t="shared" ref="AE38:AF38" si="71">+((AE46+AD46)/2)*AE56</f>
        <v>5052.020207985317</v>
      </c>
      <c r="AF38" s="64">
        <f t="shared" si="71"/>
        <v>6127.0174801094181</v>
      </c>
      <c r="AG38" s="19"/>
    </row>
    <row r="39" spans="1:33" ht="16.2" outlineLevel="1">
      <c r="A39" s="138"/>
      <c r="B39" s="70" t="s">
        <v>77</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1894.2571379999999</v>
      </c>
      <c r="Z39" s="99">
        <f t="shared" ref="Z39:AA39" si="72">+((Z48+Y48)/2)*Z58</f>
        <v>2005.3976603359858</v>
      </c>
      <c r="AA39" s="99">
        <f t="shared" si="72"/>
        <v>2325.045544393653</v>
      </c>
      <c r="AB39" s="19"/>
      <c r="AC39" s="99">
        <f>+((AC48+AA48)/2)*AC58</f>
        <v>2048.1414797734878</v>
      </c>
      <c r="AD39" s="99">
        <f>+((AD48+AC48)/2)*AD58</f>
        <v>2378.2284421106483</v>
      </c>
      <c r="AE39" s="99">
        <f t="shared" ref="AE39:AF39" si="73">+((AE48+AD48)/2)*AE58</f>
        <v>2594.6686838267465</v>
      </c>
      <c r="AF39" s="99">
        <f t="shared" si="73"/>
        <v>3124.5099046335285</v>
      </c>
      <c r="AG39" s="19"/>
    </row>
    <row r="40" spans="1:33" s="92" customFormat="1" outlineLevel="1">
      <c r="A40" s="139"/>
      <c r="B40" s="90" t="s">
        <v>19</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19207.253484793655</v>
      </c>
      <c r="Z40" s="100">
        <f t="shared" ref="Z40:AA40" si="81">SUM(Z36:Z39)</f>
        <v>19907.00008527908</v>
      </c>
      <c r="AA40" s="100">
        <f t="shared" si="81"/>
        <v>24558.391714698999</v>
      </c>
      <c r="AB40" s="91"/>
      <c r="AC40" s="100">
        <f>SUM(AC36:AC39)</f>
        <v>22220.319960559173</v>
      </c>
      <c r="AD40" s="100">
        <f>SUM(AD36:AD39)</f>
        <v>24361.058268496938</v>
      </c>
      <c r="AE40" s="100">
        <f t="shared" ref="AE40:AF40" si="82">SUM(AE36:AE39)</f>
        <v>25626.512801845671</v>
      </c>
      <c r="AF40" s="100">
        <f t="shared" si="82"/>
        <v>32971.903808315918</v>
      </c>
      <c r="AG40" s="91"/>
    </row>
    <row r="41" spans="1:33" ht="17.399999999999999">
      <c r="A41" s="138"/>
      <c r="B41" s="188" t="s">
        <v>85</v>
      </c>
      <c r="C41" s="189"/>
      <c r="D41" s="27" t="s">
        <v>48</v>
      </c>
      <c r="E41" s="27" t="s">
        <v>49</v>
      </c>
      <c r="F41" s="27" t="s">
        <v>50</v>
      </c>
      <c r="G41" s="27" t="s">
        <v>51</v>
      </c>
      <c r="H41" s="80" t="s">
        <v>52</v>
      </c>
      <c r="I41" s="27" t="s">
        <v>39</v>
      </c>
      <c r="J41" s="27" t="s">
        <v>40</v>
      </c>
      <c r="K41" s="27" t="s">
        <v>41</v>
      </c>
      <c r="L41" s="27" t="s">
        <v>42</v>
      </c>
      <c r="M41" s="80" t="s">
        <v>43</v>
      </c>
      <c r="N41" s="27" t="s">
        <v>30</v>
      </c>
      <c r="O41" s="27" t="s">
        <v>29</v>
      </c>
      <c r="P41" s="27" t="s">
        <v>28</v>
      </c>
      <c r="Q41" s="27" t="s">
        <v>27</v>
      </c>
      <c r="R41" s="80" t="s">
        <v>26</v>
      </c>
      <c r="S41" s="27" t="s">
        <v>140</v>
      </c>
      <c r="T41" s="27" t="s">
        <v>146</v>
      </c>
      <c r="U41" s="27" t="s">
        <v>147</v>
      </c>
      <c r="V41" s="27" t="s">
        <v>148</v>
      </c>
      <c r="W41" s="80" t="s">
        <v>149</v>
      </c>
      <c r="X41" s="27" t="s">
        <v>150</v>
      </c>
      <c r="Y41" s="25" t="s">
        <v>105</v>
      </c>
      <c r="Z41" s="25" t="s">
        <v>106</v>
      </c>
      <c r="AA41" s="25" t="s">
        <v>107</v>
      </c>
      <c r="AB41" s="82" t="s">
        <v>108</v>
      </c>
      <c r="AC41" s="25" t="s">
        <v>109</v>
      </c>
      <c r="AD41" s="25" t="s">
        <v>110</v>
      </c>
      <c r="AE41" s="25" t="s">
        <v>111</v>
      </c>
      <c r="AF41" s="25" t="s">
        <v>112</v>
      </c>
      <c r="AG41" s="82" t="s">
        <v>113</v>
      </c>
    </row>
    <row r="42" spans="1:33" ht="15.6" outlineLevel="1">
      <c r="A42" s="138"/>
      <c r="B42" s="70" t="s">
        <v>114</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258.64</v>
      </c>
      <c r="Z42" s="29">
        <f t="shared" ref="Z42" si="84">U42*(1+Z43)</f>
        <v>253.58297044519264</v>
      </c>
      <c r="AA42" s="29">
        <f t="shared" ref="AA42" si="85">V42*(1+AA43)</f>
        <v>255.44</v>
      </c>
      <c r="AB42" s="19"/>
      <c r="AC42" s="29">
        <f>X42*(1+AC43)</f>
        <v>260.59000000000003</v>
      </c>
      <c r="AD42" s="29">
        <f t="shared" ref="AD42" si="86">Y42*(1+AD43)</f>
        <v>266.39920000000001</v>
      </c>
      <c r="AE42" s="29">
        <f t="shared" ref="AE42" si="87">Z42*(1+AE43)</f>
        <v>261.19045955854841</v>
      </c>
      <c r="AF42" s="29">
        <f t="shared" ref="AF42" si="88">AA42*(1+AF43)</f>
        <v>263.10320000000002</v>
      </c>
      <c r="AG42" s="19"/>
    </row>
    <row r="43" spans="1:33" ht="15.6" outlineLevel="1">
      <c r="A43" s="138"/>
      <c r="B43" s="47" t="s">
        <v>81</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0.06</v>
      </c>
      <c r="Z43" s="59">
        <f>AVERAGE(U43,V43,X43,Y43)-1%</f>
        <v>2.6651702207257759E-2</v>
      </c>
      <c r="AA43" s="59">
        <v>0.03</v>
      </c>
      <c r="AB43" s="19"/>
      <c r="AC43" s="59">
        <v>0.03</v>
      </c>
      <c r="AD43" s="59">
        <v>0.03</v>
      </c>
      <c r="AE43" s="59">
        <v>0.03</v>
      </c>
      <c r="AF43" s="59">
        <f>AVERAGE(AA43,AC43,AD43,AE43)</f>
        <v>0.03</v>
      </c>
      <c r="AG43" s="19"/>
    </row>
    <row r="44" spans="1:33" outlineLevel="1">
      <c r="A44" s="138"/>
      <c r="B44" s="56" t="s">
        <v>116</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408.1</v>
      </c>
      <c r="Z44" s="29">
        <f t="shared" ref="Z44" si="90">U44*(1+Z45)</f>
        <v>400.8751498523622</v>
      </c>
      <c r="AA44" s="29">
        <f t="shared" ref="AA44" si="91">V44*(1+AA45)</f>
        <v>408.50565194389765</v>
      </c>
      <c r="AB44" s="19"/>
      <c r="AC44" s="29">
        <f>X44*(1+AC45)</f>
        <v>425.28105596907812</v>
      </c>
      <c r="AD44" s="29">
        <f t="shared" ref="AD44" si="92">Y44*(1+AD45)</f>
        <v>426.48079966948103</v>
      </c>
      <c r="AE44" s="29">
        <f t="shared" ref="AE44" si="93">Z44*(1+AE45)</f>
        <v>417.43126366653911</v>
      </c>
      <c r="AF44" s="29">
        <f t="shared" ref="AF44" si="94">AA44*(1+AF45)</f>
        <v>425.93316963364236</v>
      </c>
      <c r="AG44" s="19"/>
    </row>
    <row r="45" spans="1:33" outlineLevel="1">
      <c r="A45" s="138"/>
      <c r="B45" s="47" t="s">
        <v>82</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0.06</v>
      </c>
      <c r="Z45" s="59">
        <f>AVERAGE(U45,V45,X45,Y45)-1%</f>
        <v>3.5853100393700814E-2</v>
      </c>
      <c r="AA45" s="59">
        <f>AVERAGE(V45,X45,Y45,Z45)-1%</f>
        <v>3.6816375492126012E-2</v>
      </c>
      <c r="AB45" s="19"/>
      <c r="AC45" s="59">
        <f>AVERAGE(X45,Y45,Z45,AA45)</f>
        <v>4.7490285638123395E-2</v>
      </c>
      <c r="AD45" s="59">
        <f>AVERAGE(Y45,Z45,AA45,AC45)</f>
        <v>4.5039940380987561E-2</v>
      </c>
      <c r="AE45" s="59">
        <f>AVERAGE(Z45,AA45,AC45,AD45)</f>
        <v>4.1299925476234442E-2</v>
      </c>
      <c r="AF45" s="59">
        <f>AVERAGE(AA45,AC45,AD45,AE45)</f>
        <v>4.2661631746867851E-2</v>
      </c>
      <c r="AG45" s="19"/>
    </row>
    <row r="46" spans="1:33" outlineLevel="1">
      <c r="A46" s="138"/>
      <c r="B46" s="56" t="s">
        <v>78</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1102.6223902215875</v>
      </c>
      <c r="Z46" s="29">
        <f t="shared" ref="Z46" si="96">U46*(1+Z47)</f>
        <v>1107.8923058526525</v>
      </c>
      <c r="AA46" s="29">
        <f t="shared" ref="AA46" si="97">V46*(1+AA47)</f>
        <v>1132.8122315223936</v>
      </c>
      <c r="AB46" s="22"/>
      <c r="AC46" s="29">
        <f>X46*(1+AC47)</f>
        <v>1201.7778299178945</v>
      </c>
      <c r="AD46" s="29">
        <f t="shared" ref="AD46" si="98">Y46*(1+AD47)</f>
        <v>1208.3203469357488</v>
      </c>
      <c r="AE46" s="29">
        <f t="shared" ref="AE46" si="99">Z46*(1+AE47)</f>
        <v>1213.1360334811307</v>
      </c>
      <c r="AF46" s="29">
        <f t="shared" ref="AF46" si="100">AA46*(1+AF47)</f>
        <v>1240.7970470802102</v>
      </c>
      <c r="AG46" s="22"/>
    </row>
    <row r="47" spans="1:33" outlineLevel="1">
      <c r="A47" s="138"/>
      <c r="B47" s="47" t="s">
        <v>83</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f>AVERAGE(T47,U47,V47,X47)-1%</f>
        <v>9.9324416970675525E-2</v>
      </c>
      <c r="Z47" s="59">
        <f>AVERAGE(U47,V47,X47,Y47)-1%</f>
        <v>9.3674536873299644E-2</v>
      </c>
      <c r="AA47" s="59">
        <f>AVERAGE(V47,X47,Y47,Z47)-1%</f>
        <v>9.0920870110163268E-2</v>
      </c>
      <c r="AB47" s="19"/>
      <c r="AC47" s="59">
        <f>AVERAGE(X47,Y47,Z47,AA47)</f>
        <v>9.9522259760196158E-2</v>
      </c>
      <c r="AD47" s="59">
        <f>AVERAGE(Y47,Z47,AA47,AC47)</f>
        <v>9.5860520928583659E-2</v>
      </c>
      <c r="AE47" s="59">
        <f>AVERAGE(Z47,AA47,AC47,AD47)</f>
        <v>9.4994546918060682E-2</v>
      </c>
      <c r="AF47" s="59">
        <f>AVERAGE(AA47,AC47,AD47,AE47)</f>
        <v>9.5324549429250949E-2</v>
      </c>
      <c r="AG47" s="19"/>
    </row>
    <row r="48" spans="1:33" outlineLevel="1">
      <c r="A48" s="138"/>
      <c r="B48" s="56" t="s">
        <v>79</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875.84</v>
      </c>
      <c r="Z48" s="29">
        <f t="shared" ref="Z48" si="102">U48*(1+Z49)</f>
        <v>875.70650602355067</v>
      </c>
      <c r="AA48" s="29">
        <f t="shared" ref="AA48" si="103">V48*(1+AA49)</f>
        <v>892.97740835031709</v>
      </c>
      <c r="AB48" s="19"/>
      <c r="AC48" s="29">
        <f>X48*(1+AC49)</f>
        <v>910.57</v>
      </c>
      <c r="AD48" s="29">
        <f t="shared" ref="AD48" si="104">Y48*(1+AD49)</f>
        <v>937.14880000000005</v>
      </c>
      <c r="AE48" s="29">
        <f t="shared" ref="AE48" si="105">Z48*(1+AE49)</f>
        <v>937.00596144519932</v>
      </c>
      <c r="AF48" s="29">
        <f t="shared" ref="AF48" si="106">AA48*(1+AF49)</f>
        <v>955.48582693483934</v>
      </c>
      <c r="AG48" s="19"/>
    </row>
    <row r="49" spans="1:33" outlineLevel="1">
      <c r="A49" s="138"/>
      <c r="B49" s="47" t="s">
        <v>84</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0.12</v>
      </c>
      <c r="Z49" s="59">
        <f>AVERAGE(U49,V49,X49,Y49)-1%</f>
        <v>9.1903374094202891E-2</v>
      </c>
      <c r="AA49" s="59">
        <f>AVERAGE(V49,X49,Y49,Z49)-1%</f>
        <v>9.246073935688405E-2</v>
      </c>
      <c r="AB49" s="19"/>
      <c r="AC49" s="59">
        <v>7.0000000000000007E-2</v>
      </c>
      <c r="AD49" s="59">
        <v>7.0000000000000007E-2</v>
      </c>
      <c r="AE49" s="59">
        <v>7.0000000000000007E-2</v>
      </c>
      <c r="AF49" s="59">
        <v>7.0000000000000007E-2</v>
      </c>
      <c r="AG49" s="19"/>
    </row>
    <row r="50" spans="1:33" s="21" customFormat="1" outlineLevel="1">
      <c r="A50" s="141"/>
      <c r="B50" s="78" t="s">
        <v>80</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2645.2023902215874</v>
      </c>
      <c r="Z50" s="40">
        <f t="shared" si="111"/>
        <v>2638.056932173758</v>
      </c>
      <c r="AA50" s="40">
        <f t="shared" si="111"/>
        <v>2689.7352918166084</v>
      </c>
      <c r="AB50" s="95"/>
      <c r="AC50" s="40">
        <f>+AC42+AC44+AC46+AC48</f>
        <v>2798.2188858869727</v>
      </c>
      <c r="AD50" s="40">
        <f t="shared" ref="AD50:AF50" si="112">+AD42+AD44+AD46+AD48</f>
        <v>2838.3491466052301</v>
      </c>
      <c r="AE50" s="40">
        <f t="shared" si="112"/>
        <v>2828.7637181514174</v>
      </c>
      <c r="AF50" s="40">
        <f t="shared" si="112"/>
        <v>2885.319243648692</v>
      </c>
      <c r="AG50" s="95"/>
    </row>
    <row r="51" spans="1:33" ht="17.399999999999999">
      <c r="A51" s="138"/>
      <c r="B51" s="185" t="s">
        <v>86</v>
      </c>
      <c r="C51" s="186"/>
      <c r="D51" s="27" t="s">
        <v>48</v>
      </c>
      <c r="E51" s="27" t="s">
        <v>49</v>
      </c>
      <c r="F51" s="27" t="s">
        <v>50</v>
      </c>
      <c r="G51" s="27" t="s">
        <v>51</v>
      </c>
      <c r="H51" s="80" t="s">
        <v>52</v>
      </c>
      <c r="I51" s="27" t="s">
        <v>39</v>
      </c>
      <c r="J51" s="27" t="s">
        <v>40</v>
      </c>
      <c r="K51" s="27" t="s">
        <v>41</v>
      </c>
      <c r="L51" s="27" t="s">
        <v>42</v>
      </c>
      <c r="M51" s="80" t="s">
        <v>43</v>
      </c>
      <c r="N51" s="27" t="s">
        <v>30</v>
      </c>
      <c r="O51" s="27" t="s">
        <v>29</v>
      </c>
      <c r="P51" s="27" t="s">
        <v>28</v>
      </c>
      <c r="Q51" s="27" t="s">
        <v>27</v>
      </c>
      <c r="R51" s="80" t="s">
        <v>26</v>
      </c>
      <c r="S51" s="27" t="s">
        <v>140</v>
      </c>
      <c r="T51" s="27" t="s">
        <v>146</v>
      </c>
      <c r="U51" s="27" t="s">
        <v>147</v>
      </c>
      <c r="V51" s="27" t="s">
        <v>148</v>
      </c>
      <c r="W51" s="80" t="s">
        <v>149</v>
      </c>
      <c r="X51" s="27" t="s">
        <v>150</v>
      </c>
      <c r="Y51" s="25" t="s">
        <v>105</v>
      </c>
      <c r="Z51" s="25" t="s">
        <v>106</v>
      </c>
      <c r="AA51" s="25" t="s">
        <v>107</v>
      </c>
      <c r="AB51" s="82" t="s">
        <v>108</v>
      </c>
      <c r="AC51" s="25" t="s">
        <v>109</v>
      </c>
      <c r="AD51" s="25" t="s">
        <v>110</v>
      </c>
      <c r="AE51" s="25" t="s">
        <v>111</v>
      </c>
      <c r="AF51" s="25" t="s">
        <v>112</v>
      </c>
      <c r="AG51" s="82" t="s">
        <v>113</v>
      </c>
    </row>
    <row r="52" spans="1:33" ht="15.6" outlineLevel="1">
      <c r="A52" s="138"/>
      <c r="B52" s="70" t="s">
        <v>115</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35.931600000000003</v>
      </c>
      <c r="Z52" s="45">
        <f t="shared" ref="Z52" si="114">U52*(1+Z53)</f>
        <v>37.659500000000001</v>
      </c>
      <c r="AA52" s="45">
        <f t="shared" ref="AA52" si="115">V52*(1+AA53)</f>
        <v>47.2074</v>
      </c>
      <c r="AB52" s="19"/>
      <c r="AC52" s="45">
        <f>X52*(1+AC53)</f>
        <v>41.699599999999997</v>
      </c>
      <c r="AD52" s="45">
        <f t="shared" ref="AD52" si="116">Y52*(1+AD53)</f>
        <v>43.836552000000005</v>
      </c>
      <c r="AE52" s="45">
        <f t="shared" ref="AE52" si="117">Z52*(1+AE53)</f>
        <v>45.944589999999998</v>
      </c>
      <c r="AF52" s="45">
        <f t="shared" ref="AF52" si="118">AA52*(1+AF53)</f>
        <v>60.425471999999999</v>
      </c>
      <c r="AG52" s="19"/>
    </row>
    <row r="53" spans="1:33" ht="15.6" outlineLevel="1">
      <c r="A53" s="138"/>
      <c r="B53" s="47" t="s">
        <v>141</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v>0.08</v>
      </c>
      <c r="Z53" s="59">
        <v>0.09</v>
      </c>
      <c r="AA53" s="59">
        <v>0.14000000000000001</v>
      </c>
      <c r="AB53" s="19"/>
      <c r="AC53" s="59">
        <v>0.22</v>
      </c>
      <c r="AD53" s="59">
        <v>0.22</v>
      </c>
      <c r="AE53" s="59">
        <v>0.22</v>
      </c>
      <c r="AF53" s="59">
        <v>0.28000000000000003</v>
      </c>
      <c r="AG53" s="19"/>
    </row>
    <row r="54" spans="1:33" outlineLevel="1">
      <c r="A54" s="138"/>
      <c r="B54" s="70" t="s">
        <v>117</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11.342000000000001</v>
      </c>
      <c r="Z54" s="45">
        <f t="shared" ref="Z54" si="125">U54*(1+Z55)</f>
        <v>11.182272439550021</v>
      </c>
      <c r="AA54" s="45">
        <f t="shared" ref="AA54" si="126">V54*(1+AA55)</f>
        <v>14.479024989003697</v>
      </c>
      <c r="AB54" s="19"/>
      <c r="AC54" s="45">
        <f>X54*(1+AC55)</f>
        <v>12.54783408802024</v>
      </c>
      <c r="AD54" s="45">
        <f t="shared" ref="AD54" si="127">Y54*(1+AD55)</f>
        <v>13.67313041930287</v>
      </c>
      <c r="AE54" s="45">
        <f t="shared" ref="AE54" si="128">Z54*(1+AE55)</f>
        <v>13.887415208975018</v>
      </c>
      <c r="AF54" s="45">
        <f t="shared" ref="AF54" si="129">AA54*(1+AF55)</f>
        <v>18.687130236263851</v>
      </c>
      <c r="AG54" s="19"/>
    </row>
    <row r="55" spans="1:33" outlineLevel="1">
      <c r="A55" s="138"/>
      <c r="B55" s="47" t="s">
        <v>144</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0.06</v>
      </c>
      <c r="Z55" s="59">
        <f>AVERAGE(U55,V55,X55,Y55)-10%</f>
        <v>4.7029254639514934E-2</v>
      </c>
      <c r="AA55" s="59">
        <f>AVERAGE(V55,X55,Y55,Z55)-1%</f>
        <v>9.6065479864019518E-2</v>
      </c>
      <c r="AB55" s="19"/>
      <c r="AC55" s="59">
        <f>AVERAGE(X55,Y55,Z55,AA55)+10%</f>
        <v>0.17930771503949616</v>
      </c>
      <c r="AD55" s="59">
        <f>AVERAGE(Y55,Z55,AA55,AC55)+10.9930195170482%</f>
        <v>0.20553080755623965</v>
      </c>
      <c r="AE55" s="59">
        <f>AVERAGE(Z55,AA55,AC55,AD55)+10.9930195170482%</f>
        <v>0.24191350944529957</v>
      </c>
      <c r="AF55" s="59">
        <f>AVERAGE(AA55,AC55,AD55,AE55)+10.9930195170482%</f>
        <v>0.29063457314674573</v>
      </c>
      <c r="AG55" s="19"/>
    </row>
    <row r="56" spans="1:33" outlineLevel="1">
      <c r="A56" s="138"/>
      <c r="B56" s="70" t="s">
        <v>87</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3.1920000000000002</v>
      </c>
      <c r="Z56" s="45">
        <f t="shared" ref="Z56" si="138">U56*(1+Z57)</f>
        <v>3.3779297578032326</v>
      </c>
      <c r="AA56" s="45">
        <f t="shared" ref="AA56" si="139">V56*(1+AA57)</f>
        <v>3.8907389909610419</v>
      </c>
      <c r="AB56" s="19"/>
      <c r="AC56" s="45">
        <f>X56*(1+AC57)</f>
        <v>3.5825968918598043</v>
      </c>
      <c r="AD56" s="45">
        <f t="shared" ref="AD56" si="140">Y56*(1+AD57)</f>
        <v>3.8247484412584201</v>
      </c>
      <c r="AE56" s="45">
        <f t="shared" ref="AE56" si="141">Z56*(1+AE57)</f>
        <v>4.1727121321223706</v>
      </c>
      <c r="AF56" s="45">
        <f t="shared" ref="AF56" si="142">AA56*(1+AF57)</f>
        <v>4.9936304527977216</v>
      </c>
      <c r="AG56" s="19"/>
    </row>
    <row r="57" spans="1:33" outlineLevel="1">
      <c r="A57" s="138"/>
      <c r="B57" s="47" t="s">
        <v>143</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0.05</v>
      </c>
      <c r="Z57" s="59">
        <f>AVERAGE(U57,V57,X57,Y57)-10%</f>
        <v>4.2570912902232166E-2</v>
      </c>
      <c r="AA57" s="59">
        <f>AVERAGE(V57,X57,Y57,Z57)-1%</f>
        <v>8.984285461093626E-2</v>
      </c>
      <c r="AB57" s="19"/>
      <c r="AC57" s="59">
        <f>AVERAGE(X57,Y57,Z57,AA57)+10%</f>
        <v>0.17078329799340003</v>
      </c>
      <c r="AD57" s="59">
        <f>AVERAGE(Y57,Z57,AA57,AC57)+10.9930195170482%</f>
        <v>0.19822946154712412</v>
      </c>
      <c r="AE57" s="59">
        <f>AVERAGE(Z57,AA57,AC57,AD57)+10.9930195170482%</f>
        <v>0.23528682693390515</v>
      </c>
      <c r="AF57" s="59">
        <f>AVERAGE(AA57,AC57,AD57,AE57)+10.9930195170482%</f>
        <v>0.28346580544182343</v>
      </c>
      <c r="AG57" s="19"/>
    </row>
    <row r="58" spans="1:33" outlineLevel="1">
      <c r="A58" s="138"/>
      <c r="B58" s="70" t="s">
        <v>88</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2.1938999999999997</v>
      </c>
      <c r="Z58" s="45">
        <f t="shared" ref="Z58" si="151">U58*(1+Z59)</f>
        <v>2.289859450993101</v>
      </c>
      <c r="AA58" s="45">
        <f t="shared" ref="AA58" si="152">V58*(1+AA59)</f>
        <v>2.629124995708171</v>
      </c>
      <c r="AB58" s="19"/>
      <c r="AC58" s="45">
        <f>X58*(1+AC59)</f>
        <v>2.2712366420652041</v>
      </c>
      <c r="AD58" s="45">
        <f t="shared" ref="AD58" si="153">Y58*(1+AD59)</f>
        <v>2.5742320120471232</v>
      </c>
      <c r="AE58" s="45">
        <f t="shared" ref="AE58" si="154">Z58*(1+AE59)</f>
        <v>2.7688947969547018</v>
      </c>
      <c r="AF58" s="45">
        <f t="shared" ref="AF58" si="155">AA58*(1+AF59)</f>
        <v>3.3020063007069531</v>
      </c>
      <c r="AG58" s="19"/>
    </row>
    <row r="59" spans="1:33" ht="16.2" outlineLevel="1">
      <c r="A59" s="138"/>
      <c r="B59" s="47" t="s">
        <v>142</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0.03</v>
      </c>
      <c r="Z59" s="59">
        <f>AVERAGE(U59,V59,X59,Y59)-10%</f>
        <v>2.2258683479062707E-2</v>
      </c>
      <c r="AA59" s="59">
        <f>AVERAGE(V59,X59,Y59,Z59)-1%</f>
        <v>6.0131046656520672E-2</v>
      </c>
      <c r="AB59" s="19"/>
      <c r="AC59" s="59">
        <f>AVERAGE(X59,Y59,Z59,AA59)+10%</f>
        <v>0.14132494576140911</v>
      </c>
      <c r="AD59" s="59">
        <f>AVERAGE(Y59,Z59,AA59,AC59)+10.9930195170482%</f>
        <v>0.17335886414473012</v>
      </c>
      <c r="AE59" s="59">
        <f>AVERAGE(Z59,AA59,AC59,AD59)+10.9930195170482%</f>
        <v>0.20919858018091264</v>
      </c>
      <c r="AF59" s="59">
        <f>AVERAGE(AA59,AC59,AD59,AE59)+10.9930195170482%</f>
        <v>0.2559335543563751</v>
      </c>
      <c r="AG59" s="19"/>
    </row>
    <row r="60" spans="1:33" outlineLevel="1">
      <c r="A60" s="138"/>
      <c r="B60" s="78" t="s">
        <v>89</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7.3195551759133632</v>
      </c>
      <c r="Z60" s="43">
        <f t="shared" ref="Z60:AA60" si="167">+Z40/((Y50+Z50)/2)</f>
        <v>7.5358784683896847</v>
      </c>
      <c r="AA60" s="43">
        <f t="shared" si="167"/>
        <v>9.2189750208785188</v>
      </c>
      <c r="AB60" s="19"/>
      <c r="AC60" s="43">
        <f>+AC40/((AA50+AC50)/2)</f>
        <v>8.0978518555551062</v>
      </c>
      <c r="AD60" s="43">
        <f>+AD40/((AC50+AD50)/2)</f>
        <v>8.6439330202586842</v>
      </c>
      <c r="AE60" s="43">
        <f t="shared" ref="AE60:AF60" si="168">+AE40/((AD50+AE50)/2)</f>
        <v>9.0439394497381702</v>
      </c>
      <c r="AF60" s="43">
        <f t="shared" si="168"/>
        <v>11.540575811986029</v>
      </c>
      <c r="AG60" s="19"/>
    </row>
    <row r="61" spans="1:33" ht="17.399999999999999">
      <c r="A61" s="138"/>
      <c r="B61" s="185" t="s">
        <v>25</v>
      </c>
      <c r="C61" s="186"/>
      <c r="D61" s="27" t="s">
        <v>48</v>
      </c>
      <c r="E61" s="27" t="s">
        <v>49</v>
      </c>
      <c r="F61" s="27" t="s">
        <v>50</v>
      </c>
      <c r="G61" s="27" t="s">
        <v>51</v>
      </c>
      <c r="H61" s="80" t="s">
        <v>52</v>
      </c>
      <c r="I61" s="27" t="s">
        <v>39</v>
      </c>
      <c r="J61" s="27" t="s">
        <v>40</v>
      </c>
      <c r="K61" s="27" t="s">
        <v>41</v>
      </c>
      <c r="L61" s="27" t="s">
        <v>42</v>
      </c>
      <c r="M61" s="80" t="s">
        <v>43</v>
      </c>
      <c r="N61" s="27" t="s">
        <v>30</v>
      </c>
      <c r="O61" s="27" t="s">
        <v>29</v>
      </c>
      <c r="P61" s="27" t="s">
        <v>28</v>
      </c>
      <c r="Q61" s="27" t="s">
        <v>27</v>
      </c>
      <c r="R61" s="80" t="s">
        <v>26</v>
      </c>
      <c r="S61" s="27" t="s">
        <v>140</v>
      </c>
      <c r="T61" s="27" t="s">
        <v>146</v>
      </c>
      <c r="U61" s="27" t="s">
        <v>147</v>
      </c>
      <c r="V61" s="27" t="s">
        <v>148</v>
      </c>
      <c r="W61" s="80" t="s">
        <v>149</v>
      </c>
      <c r="X61" s="27" t="s">
        <v>150</v>
      </c>
      <c r="Y61" s="25" t="s">
        <v>105</v>
      </c>
      <c r="Z61" s="25" t="s">
        <v>106</v>
      </c>
      <c r="AA61" s="25" t="s">
        <v>107</v>
      </c>
      <c r="AB61" s="82" t="s">
        <v>108</v>
      </c>
      <c r="AC61" s="25" t="s">
        <v>109</v>
      </c>
      <c r="AD61" s="25" t="s">
        <v>110</v>
      </c>
      <c r="AE61" s="25" t="s">
        <v>111</v>
      </c>
      <c r="AF61" s="25" t="s">
        <v>112</v>
      </c>
      <c r="AG61" s="82" t="s">
        <v>113</v>
      </c>
    </row>
    <row r="62" spans="1:33" s="52" customFormat="1" ht="15.45" customHeight="1" outlineLevel="1">
      <c r="A62" s="143"/>
      <c r="B62" s="70" t="s">
        <v>18</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c r="A63" s="138"/>
      <c r="B63" s="185" t="s">
        <v>15</v>
      </c>
      <c r="C63" s="186"/>
      <c r="D63" s="27" t="s">
        <v>48</v>
      </c>
      <c r="E63" s="27" t="s">
        <v>49</v>
      </c>
      <c r="F63" s="27" t="s">
        <v>50</v>
      </c>
      <c r="G63" s="27" t="s">
        <v>51</v>
      </c>
      <c r="H63" s="80" t="s">
        <v>52</v>
      </c>
      <c r="I63" s="27" t="s">
        <v>39</v>
      </c>
      <c r="J63" s="27" t="s">
        <v>40</v>
      </c>
      <c r="K63" s="27" t="s">
        <v>41</v>
      </c>
      <c r="L63" s="27" t="s">
        <v>42</v>
      </c>
      <c r="M63" s="80" t="s">
        <v>43</v>
      </c>
      <c r="N63" s="27" t="s">
        <v>30</v>
      </c>
      <c r="O63" s="27" t="s">
        <v>29</v>
      </c>
      <c r="P63" s="27" t="s">
        <v>28</v>
      </c>
      <c r="Q63" s="27" t="s">
        <v>27</v>
      </c>
      <c r="R63" s="80" t="s">
        <v>26</v>
      </c>
      <c r="S63" s="27" t="s">
        <v>140</v>
      </c>
      <c r="T63" s="27" t="s">
        <v>146</v>
      </c>
      <c r="U63" s="27" t="s">
        <v>147</v>
      </c>
      <c r="V63" s="27" t="s">
        <v>148</v>
      </c>
      <c r="W63" s="80" t="s">
        <v>149</v>
      </c>
      <c r="X63" s="27" t="s">
        <v>150</v>
      </c>
      <c r="Y63" s="25" t="s">
        <v>105</v>
      </c>
      <c r="Z63" s="25" t="s">
        <v>106</v>
      </c>
      <c r="AA63" s="25" t="s">
        <v>107</v>
      </c>
      <c r="AB63" s="82" t="s">
        <v>108</v>
      </c>
      <c r="AC63" s="25" t="s">
        <v>109</v>
      </c>
      <c r="AD63" s="25" t="s">
        <v>110</v>
      </c>
      <c r="AE63" s="25" t="s">
        <v>111</v>
      </c>
      <c r="AF63" s="25" t="s">
        <v>112</v>
      </c>
      <c r="AG63" s="82" t="s">
        <v>113</v>
      </c>
    </row>
    <row r="64" spans="1:33" s="42" customFormat="1" outlineLevel="1">
      <c r="A64" s="145"/>
      <c r="B64" s="190" t="s">
        <v>100</v>
      </c>
      <c r="C64" s="191"/>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0.13746615449447197</v>
      </c>
      <c r="Z64" s="55">
        <f t="shared" si="175"/>
        <v>0.12774756884653748</v>
      </c>
      <c r="AA64" s="55">
        <f t="shared" si="175"/>
        <v>0.16489857293895271</v>
      </c>
      <c r="AB64" s="53">
        <f t="shared" si="175"/>
        <v>0.15152899394276598</v>
      </c>
      <c r="AC64" s="55">
        <f t="shared" si="175"/>
        <v>0.25276653101196223</v>
      </c>
      <c r="AD64" s="55">
        <f t="shared" si="175"/>
        <v>0.26832596278190102</v>
      </c>
      <c r="AE64" s="55">
        <f t="shared" si="175"/>
        <v>0.28731163369995083</v>
      </c>
      <c r="AF64" s="55">
        <f t="shared" si="175"/>
        <v>0.34259214493191581</v>
      </c>
      <c r="AG64" s="53">
        <f t="shared" si="175"/>
        <v>0.29198198163494959</v>
      </c>
    </row>
    <row r="65" spans="1:33" s="42" customFormat="1" outlineLevel="1">
      <c r="A65" s="145"/>
      <c r="B65" s="190" t="s">
        <v>101</v>
      </c>
      <c r="C65" s="191"/>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8.2891891796451178E-2</v>
      </c>
      <c r="Z65" s="55">
        <f t="shared" si="179"/>
        <v>3.6431372191730205E-2</v>
      </c>
      <c r="AA65" s="55">
        <f t="shared" si="179"/>
        <v>0.23365608125252146</v>
      </c>
      <c r="AB65" s="53"/>
      <c r="AC65" s="55">
        <f>+AC13/AA13-1</f>
        <v>-9.5204595695914995E-2</v>
      </c>
      <c r="AD65" s="55">
        <f t="shared" ref="AD65:AF65" si="180">+AD13/AC13-1</f>
        <v>9.6341470858095413E-2</v>
      </c>
      <c r="AE65" s="55">
        <f t="shared" si="180"/>
        <v>5.1945794776296017E-2</v>
      </c>
      <c r="AF65" s="55">
        <f t="shared" si="180"/>
        <v>0.28663248344664427</v>
      </c>
      <c r="AG65" s="53"/>
    </row>
    <row r="66" spans="1:33" s="42" customFormat="1" outlineLevel="1">
      <c r="A66" s="145"/>
      <c r="B66" s="70" t="s">
        <v>104</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19482.253484793655</v>
      </c>
      <c r="Z66" s="29">
        <f>+Z84+Z13</f>
        <v>20057.00008527908</v>
      </c>
      <c r="AA66" s="29">
        <f>+AA84+AA13</f>
        <v>24658.391714698999</v>
      </c>
      <c r="AB66" s="30">
        <f>SUM(X66:AA66)</f>
        <v>82209.64528477173</v>
      </c>
      <c r="AC66" s="29">
        <f>+AC84+AC13</f>
        <v>22270.319960559173</v>
      </c>
      <c r="AD66" s="29">
        <f>+AD84+AD13</f>
        <v>24411.058268496938</v>
      </c>
      <c r="AE66" s="29">
        <f>+AE84+AE13</f>
        <v>25676.512801845671</v>
      </c>
      <c r="AF66" s="29">
        <f>+AF84+AF13</f>
        <v>33021.903808315918</v>
      </c>
      <c r="AG66" s="30">
        <f>SUM(AC66:AF66)</f>
        <v>105379.79483921771</v>
      </c>
    </row>
    <row r="67" spans="1:33" s="42" customFormat="1" outlineLevel="1">
      <c r="A67" s="145"/>
      <c r="B67" s="190" t="s">
        <v>102</v>
      </c>
      <c r="C67" s="191"/>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0.15375183493981148</v>
      </c>
      <c r="Z67" s="55">
        <f t="shared" ref="Z67" si="183">+Z66/U13-1</f>
        <v>0.136245189512751</v>
      </c>
      <c r="AA67" s="55">
        <f t="shared" ref="AA67" si="184">+AA66/V13-1</f>
        <v>0.16964195591969444</v>
      </c>
      <c r="AB67" s="147">
        <f>+AB66/W13-1</f>
        <v>0.16284489136415581</v>
      </c>
      <c r="AC67" s="55">
        <f>+AC66/X13-1</f>
        <v>0.25558549701523225</v>
      </c>
      <c r="AD67" s="55">
        <f t="shared" ref="AD67" si="185">+AD66/Y13-1</f>
        <v>0.2709291460032599</v>
      </c>
      <c r="AE67" s="55">
        <f t="shared" ref="AE67" si="186">+AE66/Z13-1</f>
        <v>0.28982331299797681</v>
      </c>
      <c r="AF67" s="55">
        <f t="shared" ref="AF67" si="187">+AF66/AA13-1</f>
        <v>0.34462810887372686</v>
      </c>
      <c r="AG67" s="147">
        <f>+AG66/AB13-1</f>
        <v>0.29443869299022452</v>
      </c>
    </row>
    <row r="68" spans="1:33" s="42" customFormat="1" outlineLevel="1">
      <c r="A68" s="145"/>
      <c r="B68" s="190" t="s">
        <v>103</v>
      </c>
      <c r="C68" s="191"/>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c r="A69" s="145"/>
      <c r="B69" s="70" t="s">
        <v>90</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0.8</v>
      </c>
      <c r="Z69" s="60">
        <v>0.79500000000000004</v>
      </c>
      <c r="AA69" s="60">
        <v>0.81</v>
      </c>
      <c r="AB69" s="54">
        <f>+AB15/AB13</f>
        <v>0.80287986657969701</v>
      </c>
      <c r="AC69" s="60">
        <v>0.80500000000000005</v>
      </c>
      <c r="AD69" s="60">
        <v>0.81499999999999995</v>
      </c>
      <c r="AE69" s="60">
        <v>0.81499999999999995</v>
      </c>
      <c r="AF69" s="60">
        <v>0.81499999999999995</v>
      </c>
      <c r="AG69" s="54">
        <f>+AG15/AG13</f>
        <v>0.81288739652948305</v>
      </c>
    </row>
    <row r="70" spans="1:33" s="42" customFormat="1" outlineLevel="1">
      <c r="A70" s="145"/>
      <c r="B70" s="70" t="s">
        <v>91</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0.22</v>
      </c>
      <c r="Z70" s="60">
        <v>0.23499999999999999</v>
      </c>
      <c r="AA70" s="60">
        <v>0.22</v>
      </c>
      <c r="AB70" s="54"/>
      <c r="AC70" s="60">
        <v>0.23499999999999999</v>
      </c>
      <c r="AD70" s="60">
        <v>0.22</v>
      </c>
      <c r="AE70" s="60">
        <f t="shared" ref="AE70:AF70" si="196">AD70</f>
        <v>0.22</v>
      </c>
      <c r="AF70" s="60">
        <f t="shared" si="196"/>
        <v>0.22</v>
      </c>
      <c r="AG70" s="54"/>
    </row>
    <row r="71" spans="1:33" s="42" customFormat="1" outlineLevel="1">
      <c r="A71" s="145"/>
      <c r="B71" s="70" t="s">
        <v>92</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0.16</v>
      </c>
      <c r="Z71" s="60">
        <v>0.16500000000000001</v>
      </c>
      <c r="AA71" s="60">
        <v>0.15</v>
      </c>
      <c r="AB71" s="165"/>
      <c r="AC71" s="60">
        <v>0.16400000000000001</v>
      </c>
      <c r="AD71" s="60">
        <v>0.16</v>
      </c>
      <c r="AE71" s="60">
        <f t="shared" ref="AE71" si="201">AD71</f>
        <v>0.16</v>
      </c>
      <c r="AF71" s="60">
        <v>0.16</v>
      </c>
      <c r="AG71" s="54"/>
    </row>
    <row r="72" spans="1:33" s="42" customFormat="1" outlineLevel="1">
      <c r="A72" s="145"/>
      <c r="B72" s="70" t="s">
        <v>93</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0.12</v>
      </c>
      <c r="Z72" s="60">
        <v>8.8999999999999996E-2</v>
      </c>
      <c r="AA72" s="60">
        <v>7.9000000000000001E-2</v>
      </c>
      <c r="AB72" s="54"/>
      <c r="AC72" s="60">
        <v>0.09</v>
      </c>
      <c r="AD72" s="60">
        <v>0.08</v>
      </c>
      <c r="AE72" s="60">
        <f t="shared" ref="AE72" si="206">AD72</f>
        <v>0.08</v>
      </c>
      <c r="AF72" s="60">
        <v>7.3999999999999996E-2</v>
      </c>
      <c r="AG72" s="54"/>
    </row>
    <row r="73" spans="1:33" s="42" customFormat="1" outlineLevel="1">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54797.347804231897</v>
      </c>
      <c r="AC73" s="51"/>
      <c r="AD73" s="51"/>
      <c r="AE73" s="51"/>
      <c r="AF73" s="51"/>
      <c r="AG73" s="30">
        <f>AG14+AG17+AG18+AG19</f>
        <v>68509.728726907328</v>
      </c>
    </row>
    <row r="74" spans="1:33" s="42" customFormat="1" outlineLevel="1">
      <c r="A74" s="145"/>
      <c r="B74" s="70" t="s">
        <v>99</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-0.71216464131884227</v>
      </c>
      <c r="Z74" s="55">
        <f>+(Z14+Z17+Z18+Z19)/(X14+X17+X18+X19)-1</f>
        <v>0.16645204822557247</v>
      </c>
      <c r="AA74" s="55">
        <f>+(AA14+AA17+AA18+AA19)/(Y14+Y17+Y18+Y19)-1</f>
        <v>0.1671790197174825</v>
      </c>
      <c r="AB74" s="53">
        <f>+(AB14+AB17+AB18+AB19)/(W14+W17+W18+W19)-1</f>
        <v>0.17311442281757827</v>
      </c>
      <c r="AC74" s="55">
        <f>+(AC14+AC17+AC18+AC19)/(AA14+AA17+AA18+AA19)-1</f>
        <v>-3.1486609477317518E-2</v>
      </c>
      <c r="AD74" s="55">
        <f>+(AD14+AD17+AD18+AD19)/(AB14+AB17+AB18+AB19)-1</f>
        <v>-0.7132546881773163</v>
      </c>
      <c r="AE74" s="55">
        <f>+(AE14+AE17+AE18+AE19)/(AC14+AC17+AC18+AC19)-1</f>
        <v>8.7533934123802837E-2</v>
      </c>
      <c r="AF74" s="55">
        <f>+(AF14+AF17+AF18+AF19)/(AD14+AD17+AD18+AD19)-1</f>
        <v>0.34087723382256563</v>
      </c>
      <c r="AG74" s="53">
        <f>+(AG14+AG17+AG18+AG19)/(AB14+AB17+AB18+AB19)-1</f>
        <v>0.2502380401997566</v>
      </c>
    </row>
    <row r="75" spans="1:33" s="42" customFormat="1" outlineLevel="1">
      <c r="A75" s="145"/>
      <c r="B75" s="190" t="s">
        <v>4</v>
      </c>
      <c r="C75" s="191"/>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0.3</v>
      </c>
      <c r="Z75" s="51">
        <f t="shared" si="207"/>
        <v>0.30600000000000005</v>
      </c>
      <c r="AA75" s="51">
        <f t="shared" si="207"/>
        <v>0.36100000000000004</v>
      </c>
      <c r="AB75" s="54">
        <f t="shared" si="207"/>
        <v>0.32689366705197842</v>
      </c>
      <c r="AC75" s="51">
        <f t="shared" si="207"/>
        <v>0.31600000000000011</v>
      </c>
      <c r="AD75" s="51">
        <f t="shared" si="207"/>
        <v>0.35499999999999993</v>
      </c>
      <c r="AE75" s="51">
        <f t="shared" si="207"/>
        <v>0.35499999999999993</v>
      </c>
      <c r="AF75" s="51">
        <f t="shared" si="207"/>
        <v>0.36099999999999999</v>
      </c>
      <c r="AG75" s="54">
        <f t="shared" si="207"/>
        <v>0.34864173454954722</v>
      </c>
    </row>
    <row r="76" spans="1:33" s="42" customFormat="1" outlineLevel="1">
      <c r="A76" s="145"/>
      <c r="B76" s="190" t="s">
        <v>2</v>
      </c>
      <c r="C76" s="191"/>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0.17644885970860177</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0.18073537980222712</v>
      </c>
    </row>
    <row r="77" spans="1:33" ht="17.399999999999999">
      <c r="A77" s="138"/>
      <c r="B77" s="185" t="s">
        <v>17</v>
      </c>
      <c r="C77" s="186"/>
      <c r="D77" s="27" t="s">
        <v>48</v>
      </c>
      <c r="E77" s="27" t="s">
        <v>49</v>
      </c>
      <c r="F77" s="27" t="s">
        <v>50</v>
      </c>
      <c r="G77" s="27" t="s">
        <v>51</v>
      </c>
      <c r="H77" s="80" t="s">
        <v>52</v>
      </c>
      <c r="I77" s="27" t="s">
        <v>39</v>
      </c>
      <c r="J77" s="27" t="s">
        <v>40</v>
      </c>
      <c r="K77" s="27" t="s">
        <v>41</v>
      </c>
      <c r="L77" s="27" t="s">
        <v>42</v>
      </c>
      <c r="M77" s="80" t="s">
        <v>43</v>
      </c>
      <c r="N77" s="27" t="s">
        <v>30</v>
      </c>
      <c r="O77" s="27" t="s">
        <v>29</v>
      </c>
      <c r="P77" s="27" t="s">
        <v>28</v>
      </c>
      <c r="Q77" s="27" t="s">
        <v>27</v>
      </c>
      <c r="R77" s="80" t="s">
        <v>26</v>
      </c>
      <c r="S77" s="27" t="s">
        <v>140</v>
      </c>
      <c r="T77" s="27" t="s">
        <v>146</v>
      </c>
      <c r="U77" s="27" t="s">
        <v>147</v>
      </c>
      <c r="V77" s="27" t="s">
        <v>148</v>
      </c>
      <c r="W77" s="80" t="s">
        <v>149</v>
      </c>
      <c r="X77" s="27" t="s">
        <v>150</v>
      </c>
      <c r="Y77" s="25" t="s">
        <v>105</v>
      </c>
      <c r="Z77" s="25" t="s">
        <v>106</v>
      </c>
      <c r="AA77" s="25" t="s">
        <v>107</v>
      </c>
      <c r="AB77" s="82" t="s">
        <v>108</v>
      </c>
      <c r="AC77" s="25" t="s">
        <v>109</v>
      </c>
      <c r="AD77" s="25" t="s">
        <v>110</v>
      </c>
      <c r="AE77" s="25" t="s">
        <v>111</v>
      </c>
      <c r="AF77" s="25" t="s">
        <v>112</v>
      </c>
      <c r="AG77" s="82" t="s">
        <v>113</v>
      </c>
    </row>
    <row r="78" spans="1:33" outlineLevel="1">
      <c r="A78" s="138"/>
      <c r="B78" s="190" t="s">
        <v>12</v>
      </c>
      <c r="C78" s="191"/>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c r="A79" s="138"/>
      <c r="B79" s="190" t="s">
        <v>13</v>
      </c>
      <c r="C79" s="191"/>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c r="A80" s="138"/>
      <c r="B80" s="190" t="s">
        <v>5</v>
      </c>
      <c r="C80" s="191"/>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c r="A81" s="138"/>
      <c r="B81" s="190" t="s">
        <v>6</v>
      </c>
      <c r="C81" s="191"/>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c r="A82" s="138"/>
      <c r="B82" s="194" t="s">
        <v>16</v>
      </c>
      <c r="C82" s="195"/>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7.399999999999999">
      <c r="A83" s="138"/>
      <c r="B83" s="185" t="s">
        <v>23</v>
      </c>
      <c r="C83" s="186"/>
      <c r="D83" s="27" t="s">
        <v>48</v>
      </c>
      <c r="E83" s="27" t="s">
        <v>49</v>
      </c>
      <c r="F83" s="27" t="s">
        <v>50</v>
      </c>
      <c r="G83" s="27" t="s">
        <v>51</v>
      </c>
      <c r="H83" s="80" t="s">
        <v>52</v>
      </c>
      <c r="I83" s="27" t="s">
        <v>39</v>
      </c>
      <c r="J83" s="27" t="s">
        <v>40</v>
      </c>
      <c r="K83" s="27" t="s">
        <v>41</v>
      </c>
      <c r="L83" s="27" t="s">
        <v>42</v>
      </c>
      <c r="M83" s="80" t="s">
        <v>43</v>
      </c>
      <c r="N83" s="27" t="s">
        <v>30</v>
      </c>
      <c r="O83" s="27" t="s">
        <v>29</v>
      </c>
      <c r="P83" s="27" t="s">
        <v>28</v>
      </c>
      <c r="Q83" s="27" t="s">
        <v>27</v>
      </c>
      <c r="R83" s="80" t="s">
        <v>26</v>
      </c>
      <c r="S83" s="27" t="s">
        <v>140</v>
      </c>
      <c r="T83" s="27" t="s">
        <v>146</v>
      </c>
      <c r="U83" s="27" t="s">
        <v>147</v>
      </c>
      <c r="V83" s="27" t="s">
        <v>148</v>
      </c>
      <c r="W83" s="80" t="s">
        <v>149</v>
      </c>
      <c r="X83" s="27" t="s">
        <v>150</v>
      </c>
      <c r="Y83" s="25" t="s">
        <v>105</v>
      </c>
      <c r="Z83" s="25" t="s">
        <v>106</v>
      </c>
      <c r="AA83" s="25" t="s">
        <v>107</v>
      </c>
      <c r="AB83" s="82" t="s">
        <v>108</v>
      </c>
      <c r="AC83" s="25" t="s">
        <v>109</v>
      </c>
      <c r="AD83" s="25" t="s">
        <v>110</v>
      </c>
      <c r="AE83" s="25" t="s">
        <v>111</v>
      </c>
      <c r="AF83" s="25" t="s">
        <v>112</v>
      </c>
      <c r="AG83" s="82" t="s">
        <v>113</v>
      </c>
    </row>
    <row r="84" spans="1:33" outlineLevel="1">
      <c r="A84" s="138"/>
      <c r="B84" s="190" t="s">
        <v>94</v>
      </c>
      <c r="C84" s="191"/>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c r="A85" s="138"/>
      <c r="B85" s="185" t="s">
        <v>95</v>
      </c>
      <c r="C85" s="186"/>
      <c r="D85" s="27" t="s">
        <v>48</v>
      </c>
      <c r="E85" s="27" t="s">
        <v>49</v>
      </c>
      <c r="F85" s="27" t="s">
        <v>50</v>
      </c>
      <c r="G85" s="27" t="s">
        <v>51</v>
      </c>
      <c r="H85" s="80" t="s">
        <v>52</v>
      </c>
      <c r="I85" s="27" t="s">
        <v>39</v>
      </c>
      <c r="J85" s="27" t="s">
        <v>40</v>
      </c>
      <c r="K85" s="27" t="s">
        <v>41</v>
      </c>
      <c r="L85" s="27" t="s">
        <v>42</v>
      </c>
      <c r="M85" s="80" t="s">
        <v>43</v>
      </c>
      <c r="N85" s="27" t="s">
        <v>30</v>
      </c>
      <c r="O85" s="27" t="s">
        <v>29</v>
      </c>
      <c r="P85" s="27" t="s">
        <v>28</v>
      </c>
      <c r="Q85" s="27" t="s">
        <v>27</v>
      </c>
      <c r="R85" s="80" t="s">
        <v>26</v>
      </c>
      <c r="S85" s="27" t="s">
        <v>140</v>
      </c>
      <c r="T85" s="27" t="s">
        <v>146</v>
      </c>
      <c r="U85" s="27" t="s">
        <v>147</v>
      </c>
      <c r="V85" s="27" t="s">
        <v>148</v>
      </c>
      <c r="W85" s="80" t="s">
        <v>149</v>
      </c>
      <c r="X85" s="27" t="s">
        <v>150</v>
      </c>
      <c r="Y85" s="25" t="s">
        <v>105</v>
      </c>
      <c r="Z85" s="25" t="s">
        <v>106</v>
      </c>
      <c r="AA85" s="25" t="s">
        <v>107</v>
      </c>
      <c r="AB85" s="82" t="s">
        <v>108</v>
      </c>
      <c r="AC85" s="25" t="s">
        <v>109</v>
      </c>
      <c r="AD85" s="25" t="s">
        <v>110</v>
      </c>
      <c r="AE85" s="25" t="s">
        <v>111</v>
      </c>
      <c r="AF85" s="25" t="s">
        <v>112</v>
      </c>
      <c r="AG85" s="82" t="s">
        <v>113</v>
      </c>
    </row>
    <row r="86" spans="1:33" outlineLevel="1">
      <c r="A86" s="138"/>
      <c r="B86" s="70" t="s">
        <v>66</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c r="A87" s="148"/>
      <c r="B87" s="70" t="s">
        <v>98</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c r="A88" s="138"/>
      <c r="B88" s="70" t="s">
        <v>97</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c r="A89" s="138"/>
      <c r="B89" s="76" t="s">
        <v>96</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c r="B1" s="86" t="s">
        <v>152</v>
      </c>
    </row>
    <row r="2" spans="2:14">
      <c r="B2" s="86"/>
    </row>
    <row r="3" spans="2:14">
      <c r="B3" s="86"/>
    </row>
    <row r="4" spans="2:14">
      <c r="B4" s="6"/>
      <c r="I4" s="6"/>
      <c r="L4" s="6"/>
    </row>
    <row r="5" spans="2:14" ht="12.45" customHeight="1">
      <c r="B5" s="6"/>
    </row>
    <row r="6" spans="2:14" ht="21" customHeight="1">
      <c r="C6" s="8"/>
      <c r="D6" s="9"/>
      <c r="E6" s="9"/>
      <c r="F6" s="9"/>
      <c r="H6" s="6"/>
    </row>
    <row r="7" spans="2:14" s="5" customFormat="1" ht="21" customHeight="1">
      <c r="C7" s="9"/>
      <c r="D7" s="9"/>
      <c r="E7" s="9"/>
      <c r="F7" s="9"/>
      <c r="H7" s="210"/>
      <c r="I7" s="210"/>
      <c r="J7" s="210"/>
      <c r="K7" s="210"/>
      <c r="L7" s="210"/>
      <c r="M7" s="210"/>
      <c r="N7" s="210"/>
    </row>
    <row r="8" spans="2:14" ht="21" customHeight="1">
      <c r="D8" s="1"/>
      <c r="E8" s="1"/>
      <c r="F8" s="1"/>
      <c r="G8" s="7"/>
    </row>
    <row r="9" spans="2:14" ht="21" customHeight="1">
      <c r="D9" s="1"/>
      <c r="E9" s="1"/>
      <c r="F9" s="1"/>
      <c r="G9" s="7"/>
    </row>
    <row r="10" spans="2:14" ht="21" customHeight="1">
      <c r="D10" s="1"/>
      <c r="E10" s="1"/>
      <c r="F10" s="1"/>
      <c r="G10" s="7"/>
    </row>
    <row r="11" spans="2:14" ht="21" customHeight="1">
      <c r="D11" s="1"/>
      <c r="E11" s="1"/>
      <c r="F11" s="1"/>
      <c r="G11" s="7"/>
    </row>
    <row r="12" spans="2:14" ht="21" customHeight="1">
      <c r="D12" s="1"/>
      <c r="E12" s="1"/>
      <c r="F12" s="10"/>
      <c r="G12" s="7"/>
    </row>
    <row r="13" spans="2:14" ht="21" customHeight="1">
      <c r="D13" s="1"/>
      <c r="E13" s="2"/>
      <c r="F13" s="2"/>
      <c r="G13" s="7"/>
    </row>
    <row r="14" spans="2:14" ht="21" customHeight="1">
      <c r="B14" s="86"/>
      <c r="D14" s="1"/>
      <c r="E14" s="2"/>
      <c r="F14" s="2"/>
      <c r="G14" s="7"/>
    </row>
    <row r="15" spans="2:14" ht="21" customHeight="1">
      <c r="D15" s="1"/>
      <c r="E15" s="2"/>
      <c r="F15" s="2"/>
      <c r="G15" s="7"/>
    </row>
    <row r="16" spans="2:14" ht="21" customHeight="1">
      <c r="D16" s="1"/>
      <c r="E16" s="2"/>
      <c r="F16" s="2"/>
      <c r="G16" s="7"/>
    </row>
    <row r="27" spans="2:2">
      <c r="B27" s="86"/>
    </row>
    <row r="41" spans="2:2">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2020-07-25T18:35:59Z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