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CAC04ABF-5BE2-4CAE-89C7-2D3E08DEFD90}" xr6:coauthVersionLast="45" xr6:coauthVersionMax="45" xr10:uidLastSave="{00000000-0000-0000-0000-000000000000}"/>
  <bookViews>
    <workbookView xWindow="3900" yWindow="0" windowWidth="24015" windowHeight="21600"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3" i="3" l="1"/>
  <c r="AC53" i="3"/>
  <c r="AC52" i="3"/>
  <c r="AC36" i="3"/>
  <c r="AC59" i="3"/>
  <c r="AC58" i="3"/>
  <c r="AA49" i="3"/>
  <c r="AC49" i="3"/>
  <c r="AC48" i="3"/>
  <c r="AA48" i="3"/>
  <c r="AC39" i="3"/>
  <c r="AA55" i="3"/>
  <c r="AC55" i="3"/>
  <c r="AC54" i="3"/>
  <c r="AC37" i="3"/>
  <c r="AC57" i="3"/>
  <c r="AC56" i="3"/>
  <c r="AC38" i="3"/>
  <c r="AC40" i="3"/>
  <c r="AC13" i="3"/>
  <c r="AD53" i="3"/>
  <c r="AD52" i="3"/>
  <c r="AD36" i="3"/>
  <c r="AD59" i="3"/>
  <c r="AD58" i="3"/>
  <c r="Y48" i="3"/>
  <c r="AD49" i="3"/>
  <c r="AD48" i="3"/>
  <c r="AD39" i="3"/>
  <c r="AD55" i="3"/>
  <c r="AD54" i="3"/>
  <c r="AD37" i="3"/>
  <c r="AD57" i="3"/>
  <c r="AD56" i="3"/>
  <c r="AD38" i="3"/>
  <c r="AD40" i="3"/>
  <c r="AD13" i="3"/>
  <c r="Z52" i="3"/>
  <c r="AE53" i="3"/>
  <c r="AE52" i="3"/>
  <c r="AE36" i="3"/>
  <c r="Z58" i="3"/>
  <c r="AE59" i="3"/>
  <c r="AE58" i="3"/>
  <c r="Z48" i="3"/>
  <c r="AE49" i="3"/>
  <c r="AE48" i="3"/>
  <c r="AE39" i="3"/>
  <c r="Z54" i="3"/>
  <c r="AE55" i="3"/>
  <c r="AE54" i="3"/>
  <c r="AE37" i="3"/>
  <c r="Z56" i="3"/>
  <c r="AE57" i="3"/>
  <c r="AE56" i="3"/>
  <c r="AE38" i="3"/>
  <c r="AE40" i="3"/>
  <c r="AE13" i="3"/>
  <c r="AA52" i="3"/>
  <c r="AF53" i="3"/>
  <c r="AF52" i="3"/>
  <c r="AF36" i="3"/>
  <c r="AA58" i="3"/>
  <c r="AF59" i="3"/>
  <c r="AF58" i="3"/>
  <c r="AF49" i="3"/>
  <c r="AF48" i="3"/>
  <c r="AF39" i="3"/>
  <c r="AA54" i="3"/>
  <c r="AF55" i="3"/>
  <c r="AF54" i="3"/>
  <c r="AF37" i="3"/>
  <c r="AA56" i="3"/>
  <c r="AF57" i="3"/>
  <c r="AF56" i="3"/>
  <c r="AF38" i="3"/>
  <c r="AF40" i="3"/>
  <c r="AF13" i="3"/>
  <c r="AG13" i="3"/>
  <c r="AC14" i="3"/>
  <c r="AD14" i="3"/>
  <c r="AE14" i="3"/>
  <c r="AF14" i="3"/>
  <c r="AG14" i="3"/>
  <c r="AG15" i="3"/>
  <c r="AC17" i="3"/>
  <c r="AD17" i="3"/>
  <c r="AE17" i="3"/>
  <c r="AF17" i="3"/>
  <c r="AG17" i="3"/>
  <c r="AC18" i="3"/>
  <c r="AD18" i="3"/>
  <c r="AE18" i="3"/>
  <c r="AF18" i="3"/>
  <c r="AG18" i="3"/>
  <c r="AC19" i="3"/>
  <c r="AD19" i="3"/>
  <c r="AE19" i="3"/>
  <c r="AF19" i="3"/>
  <c r="AG19" i="3"/>
  <c r="AG20" i="3"/>
  <c r="AG21" i="3"/>
  <c r="AG23" i="3"/>
  <c r="AC15" i="3"/>
  <c r="AC20" i="3"/>
  <c r="AC21" i="3"/>
  <c r="AC23" i="3"/>
  <c r="AC24" i="3"/>
  <c r="AD15" i="3"/>
  <c r="AD20" i="3"/>
  <c r="AD21" i="3"/>
  <c r="AD23" i="3"/>
  <c r="AD76" i="3"/>
  <c r="AD24" i="3"/>
  <c r="AE15" i="3"/>
  <c r="AE20" i="3"/>
  <c r="AE21" i="3"/>
  <c r="AE23" i="3"/>
  <c r="AE76" i="3"/>
  <c r="AE24" i="3"/>
  <c r="AF15" i="3"/>
  <c r="AF20" i="3"/>
  <c r="AF21" i="3"/>
  <c r="AF23" i="3"/>
  <c r="AF76" i="3"/>
  <c r="AF24" i="3"/>
  <c r="AG24" i="3"/>
  <c r="AG25" i="3"/>
  <c r="AC25" i="3"/>
  <c r="AD25" i="3"/>
  <c r="AE25" i="3"/>
  <c r="AF25" i="3"/>
  <c r="AG29" i="3"/>
  <c r="AG31" i="3"/>
  <c r="AG10" i="3"/>
  <c r="AF31" i="3"/>
  <c r="AF10" i="3"/>
  <c r="AE31" i="3"/>
  <c r="AE10" i="3"/>
  <c r="AD31" i="3"/>
  <c r="AD10" i="3"/>
  <c r="AC31" i="3"/>
  <c r="AC10" i="3"/>
  <c r="Z36" i="3"/>
  <c r="Z39" i="3"/>
  <c r="Z37" i="3"/>
  <c r="Z38" i="3"/>
  <c r="Z40" i="3"/>
  <c r="Z13" i="3"/>
  <c r="AA36" i="3"/>
  <c r="AA39" i="3"/>
  <c r="AA37" i="3"/>
  <c r="AA38" i="3"/>
  <c r="AA40" i="3"/>
  <c r="AA13" i="3"/>
  <c r="Y39" i="3"/>
  <c r="Y40" i="3"/>
  <c r="Y13" i="3"/>
  <c r="AB13" i="3"/>
  <c r="Z14" i="3"/>
  <c r="AA14" i="3"/>
  <c r="Y14" i="3"/>
  <c r="AB14" i="3"/>
  <c r="AB15" i="3"/>
  <c r="Z17" i="3"/>
  <c r="AA17" i="3"/>
  <c r="Y17" i="3"/>
  <c r="AB17" i="3"/>
  <c r="Z18" i="3"/>
  <c r="AA18" i="3"/>
  <c r="Y18" i="3"/>
  <c r="AB18" i="3"/>
  <c r="Z19" i="3"/>
  <c r="AA19" i="3"/>
  <c r="Y19" i="3"/>
  <c r="AB19" i="3"/>
  <c r="AB20" i="3"/>
  <c r="AB21" i="3"/>
  <c r="AB23" i="3"/>
  <c r="Z15" i="3"/>
  <c r="Z20" i="3"/>
  <c r="Z21" i="3"/>
  <c r="Z23" i="3"/>
  <c r="Z24" i="3"/>
  <c r="AA15" i="3"/>
  <c r="AA20" i="3"/>
  <c r="AA21" i="3"/>
  <c r="AA23" i="3"/>
  <c r="AA24" i="3"/>
  <c r="Y15" i="3"/>
  <c r="Y20" i="3"/>
  <c r="Y21" i="3"/>
  <c r="Y23" i="3"/>
  <c r="Y24" i="3"/>
  <c r="AB24" i="3"/>
  <c r="AB25" i="3"/>
  <c r="Z25" i="3"/>
  <c r="AA25" i="3"/>
  <c r="Y25" i="3"/>
  <c r="AB29" i="3"/>
  <c r="AB31" i="3"/>
  <c r="AB10" i="3"/>
  <c r="AA31" i="3"/>
  <c r="AA10" i="3"/>
  <c r="Z31" i="3"/>
  <c r="Z10" i="3"/>
  <c r="Y31" i="3"/>
  <c r="Y10" i="3"/>
  <c r="AG4" i="3"/>
  <c r="AF4" i="3"/>
  <c r="AE4" i="3"/>
  <c r="AD4" i="3"/>
  <c r="AC4" i="3"/>
  <c r="AB4" i="3"/>
  <c r="AA4" i="3"/>
  <c r="Z4" i="3"/>
  <c r="Y4" i="3"/>
  <c r="U49" i="3"/>
  <c r="V49" i="3"/>
  <c r="X49" i="3"/>
  <c r="Y84" i="3"/>
  <c r="V43" i="3"/>
  <c r="X43" i="3"/>
  <c r="AA43" i="3"/>
  <c r="AC43" i="3"/>
  <c r="AC42" i="3"/>
  <c r="AA42" i="3"/>
  <c r="U53" i="3"/>
  <c r="V53" i="3"/>
  <c r="X53" i="3"/>
  <c r="U45" i="3"/>
  <c r="V45" i="3"/>
  <c r="X45" i="3"/>
  <c r="Z45" i="3"/>
  <c r="AA45" i="3"/>
  <c r="AC45" i="3"/>
  <c r="AC44" i="3"/>
  <c r="AA44" i="3"/>
  <c r="U55" i="3"/>
  <c r="V55" i="3"/>
  <c r="X55" i="3"/>
  <c r="U47" i="3"/>
  <c r="V47" i="3"/>
  <c r="X47" i="3"/>
  <c r="Z47" i="3"/>
  <c r="AA47" i="3"/>
  <c r="AC47" i="3"/>
  <c r="AC46" i="3"/>
  <c r="AA46" i="3"/>
  <c r="U57" i="3"/>
  <c r="V57" i="3"/>
  <c r="X57" i="3"/>
  <c r="U59" i="3"/>
  <c r="V59" i="3"/>
  <c r="X59" i="3"/>
  <c r="Y42" i="3"/>
  <c r="AD43" i="3"/>
  <c r="AD42" i="3"/>
  <c r="Y52" i="3"/>
  <c r="Y44" i="3"/>
  <c r="AD45" i="3"/>
  <c r="AD44" i="3"/>
  <c r="Y54" i="3"/>
  <c r="Y46" i="3"/>
  <c r="AD47" i="3"/>
  <c r="AD46" i="3"/>
  <c r="Y56" i="3"/>
  <c r="Y58" i="3"/>
  <c r="Z42" i="3"/>
  <c r="AE43" i="3"/>
  <c r="AE42" i="3"/>
  <c r="Z44" i="3"/>
  <c r="AE45" i="3"/>
  <c r="AE44" i="3"/>
  <c r="Z46" i="3"/>
  <c r="AE47" i="3"/>
  <c r="AE46" i="3"/>
  <c r="AF43" i="3"/>
  <c r="AF42" i="3"/>
  <c r="AF45" i="3"/>
  <c r="AF44" i="3"/>
  <c r="AF47" i="3"/>
  <c r="AF46" i="3"/>
  <c r="Y36" i="3"/>
  <c r="Y37" i="3"/>
  <c r="Y38" i="3"/>
  <c r="AE70" i="3"/>
  <c r="AF70" i="3"/>
  <c r="AE71" i="3"/>
  <c r="AE72" i="3"/>
  <c r="V22" i="3"/>
  <c r="Y22" i="3"/>
  <c r="Z22" i="3"/>
  <c r="AA22" i="3"/>
  <c r="AC22" i="3"/>
  <c r="AD22" i="3"/>
  <c r="AE22" i="3"/>
  <c r="AF22" i="3"/>
  <c r="AG22" i="3"/>
  <c r="T81" i="3"/>
  <c r="T80" i="3"/>
  <c r="T82" i="3"/>
  <c r="T79" i="3"/>
  <c r="U81" i="3"/>
  <c r="U80" i="3"/>
  <c r="U82" i="3"/>
  <c r="U79" i="3"/>
  <c r="V81" i="3"/>
  <c r="V80" i="3"/>
  <c r="V82" i="3"/>
  <c r="V79" i="3"/>
  <c r="X81" i="3"/>
  <c r="X80" i="3"/>
  <c r="X82" i="3"/>
  <c r="X79" i="3"/>
  <c r="Y79" i="3"/>
  <c r="Y81" i="3"/>
  <c r="Y82" i="3"/>
  <c r="Y29" i="3"/>
  <c r="Z79" i="3"/>
  <c r="Z81" i="3"/>
  <c r="Z80" i="3"/>
  <c r="Z82" i="3"/>
  <c r="Z29" i="3"/>
  <c r="AA79" i="3"/>
  <c r="AA81" i="3"/>
  <c r="AA80" i="3"/>
  <c r="AA82" i="3"/>
  <c r="AA29" i="3"/>
  <c r="AC79" i="3"/>
  <c r="AC81" i="3"/>
  <c r="AC80" i="3"/>
  <c r="AC82" i="3"/>
  <c r="AC29" i="3"/>
  <c r="AD79" i="3"/>
  <c r="AD81" i="3"/>
  <c r="AD80" i="3"/>
  <c r="AD82" i="3"/>
  <c r="AD29" i="3"/>
  <c r="AE79" i="3"/>
  <c r="AE81" i="3"/>
  <c r="AE80" i="3"/>
  <c r="AE82" i="3"/>
  <c r="AE29" i="3"/>
  <c r="AF79" i="3"/>
  <c r="AF81" i="3"/>
  <c r="AF80" i="3"/>
  <c r="AF82" i="3"/>
  <c r="AF29" i="3"/>
  <c r="AB22" i="3"/>
  <c r="X15" i="3"/>
  <c r="X20" i="3"/>
  <c r="X21" i="3"/>
  <c r="X23" i="3"/>
  <c r="X25"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3" i="3"/>
  <c r="V24" i="3"/>
  <c r="V25" i="3"/>
  <c r="T43" i="3"/>
  <c r="U43" i="3"/>
  <c r="T53" i="3"/>
  <c r="T45" i="3"/>
  <c r="T55" i="3"/>
  <c r="T47" i="3"/>
  <c r="T57" i="3"/>
  <c r="T49" i="3"/>
  <c r="T59" i="3"/>
  <c r="X76"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W29" i="3"/>
  <c r="U31" i="3"/>
  <c r="V31" i="3"/>
  <c r="X31" i="3"/>
  <c r="AD84" i="3"/>
  <c r="AE84" i="3"/>
  <c r="AF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Y78" i="3"/>
  <c r="Y28" i="3"/>
  <c r="Z78" i="3"/>
  <c r="Z28" i="3"/>
  <c r="Z30" i="3"/>
  <c r="W28" i="3"/>
  <c r="W30" i="3"/>
  <c r="W31" i="3"/>
  <c r="X30" i="3"/>
  <c r="AA78" i="3"/>
  <c r="AA28" i="3"/>
  <c r="AA30" i="3"/>
  <c r="Y30" i="3"/>
  <c r="AC78" i="3"/>
  <c r="AC28" i="3"/>
  <c r="AC30" i="3"/>
  <c r="AB28" i="3"/>
  <c r="AB30" i="3"/>
  <c r="AD78" i="3"/>
  <c r="AD28" i="3"/>
  <c r="AE78" i="3"/>
  <c r="AE28" i="3"/>
  <c r="AE30" i="3"/>
  <c r="AF78" i="3"/>
  <c r="AD30" i="3"/>
  <c r="AF28" i="3"/>
  <c r="AG28" i="3"/>
  <c r="AG30" i="3"/>
  <c r="A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tc={F5ECEABC-F3A2-084B-96BC-B9FB15D58125}</author>
    <author>tc={A4BB5ACE-38D5-B94D-ADA7-7275E3262E44}</author>
    <author>tc={E956E412-1A2D-1646-A2AE-6C83A448D133}</author>
    <author>tc={4B3BA7F2-D01B-9941-9D40-40089E7B22AC}</author>
  </authors>
  <commentList>
    <comment ref="T19" authorId="0" shapeId="0" xr:uid="{8BA4BC2C-E337-42F5-96B9-C69390F26459}">
      <text>
        <r>
          <rPr>
            <b/>
            <sz val="9"/>
            <color rgb="FF000000"/>
            <rFont val="Tahoma"/>
            <family val="2"/>
          </rPr>
          <t>2Q2019 Earnings Call Guidance:</t>
        </r>
        <r>
          <rPr>
            <sz val="9"/>
            <color rgb="FF000000"/>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t>
        </r>
        <r>
          <rPr>
            <sz val="9"/>
            <color rgb="FF000000"/>
            <rFont val="Tahoma"/>
            <family val="2"/>
          </rPr>
          <t>result of that."</t>
        </r>
      </text>
    </comment>
    <comment ref="Y42" authorId="1" shapeId="0" xr:uid="{F5ECEABC-F3A2-084B-96BC-B9FB15D5812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Due to extra time from self-quarantine restrictions, many areas have seen extremely high levels of mobile and desktop app usage</t>
        </r>
      </text>
    </comment>
    <comment ref="AA43" authorId="2" shapeId="0" xr:uid="{A4BB5ACE-38D5-B94D-ADA7-7275E3262E4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Facebook is launching Instagram Reels, a web based short-video sharing platform much alike TikTok, which has been banned by the Indian government amongst oithere recently, is expected to increase MAU.</t>
        </r>
      </text>
    </comment>
    <comment ref="Y52" authorId="3" shapeId="0" xr:uid="{E956E412-1A2D-1646-A2AE-6C83A448D13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ARPU has seen drastic decrease, and especially as other analysts have estimated, many companies are less willing to spend on advertisements in this quarter</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rgb="FF000000"/>
            <rFont val="Tahoma"/>
            <family val="2"/>
          </rPr>
          <t xml:space="preserve">"So FX is going to play out in different ways over the course of the year, depending on the compare. I mean, a good proxy is looking at sort of euro versus dollar, but that's our largest non-U.S. currency. But obviously we've got other currency impacts, as well."
</t>
        </r>
        <r>
          <rPr>
            <sz val="9"/>
            <color rgb="FF000000"/>
            <rFont val="Tahoma"/>
            <family val="2"/>
          </rPr>
          <t>-Dave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W74" authorId="0" shapeId="0" xr:uid="{4A8C62BC-0161-41D5-B168-8A39C9AEAE2C}">
      <text>
        <r>
          <rPr>
            <b/>
            <sz val="9"/>
            <color rgb="FF000000"/>
            <rFont val="Tahoma"/>
            <family val="2"/>
          </rPr>
          <t xml:space="preserve">2Q2019 Earnings Call Guidance: </t>
        </r>
        <r>
          <rPr>
            <sz val="9"/>
            <color rgb="FF000000"/>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rgb="FF000000"/>
            <rFont val="Tahoma"/>
            <family val="2"/>
          </rPr>
          <t xml:space="preserve">
</t>
        </r>
        <r>
          <rPr>
            <b/>
            <sz val="9"/>
            <color rgb="FF000000"/>
            <rFont val="Tahoma"/>
            <family val="2"/>
          </rPr>
          <t xml:space="preserve">
</t>
        </r>
        <r>
          <rPr>
            <b/>
            <sz val="9"/>
            <color rgb="FF000000"/>
            <rFont val="Tahoma"/>
            <family val="2"/>
          </rPr>
          <t xml:space="preserve">Prior Guidance:
</t>
        </r>
        <r>
          <rPr>
            <b/>
            <sz val="9"/>
            <color rgb="FF000000"/>
            <rFont val="Tahoma"/>
            <family val="2"/>
          </rPr>
          <t xml:space="preserve">1Q2019 Earnings Call Guidance: </t>
        </r>
        <r>
          <rPr>
            <sz val="9"/>
            <color rgb="FF000000"/>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rgb="FF000000"/>
            <rFont val="Tahoma"/>
            <family val="2"/>
          </rPr>
          <t xml:space="preserve">
</t>
        </r>
        <r>
          <rPr>
            <b/>
            <sz val="9"/>
            <color rgb="FF000000"/>
            <rFont val="Tahoma"/>
            <family val="2"/>
          </rPr>
          <t xml:space="preserve">
</t>
        </r>
        <r>
          <rPr>
            <b/>
            <sz val="9"/>
            <color rgb="FF000000"/>
            <rFont val="Tahoma"/>
            <family val="2"/>
          </rPr>
          <t>4Q2018 Earnings call guidance: "</t>
        </r>
        <r>
          <rPr>
            <sz val="9"/>
            <color rgb="FF000000"/>
            <rFont val="Tahoma"/>
            <family val="2"/>
          </rPr>
          <t xml:space="preserve">On a full-year basis, we continue to expect 2019 total expenses will grow approximately 40-50% compared to 2018."
</t>
        </r>
        <r>
          <rPr>
            <sz val="9"/>
            <color rgb="FF000000"/>
            <rFont val="Tahoma"/>
            <family val="2"/>
          </rPr>
          <t xml:space="preserve">
</t>
        </r>
        <r>
          <rPr>
            <sz val="9"/>
            <color rgb="FF000000"/>
            <rFont val="Tahoma"/>
            <family val="2"/>
          </rPr>
          <t xml:space="preserve">"I would note that the 62 percent expense growth that we saw in Q4 we don't expect to continue. You know, there's the continuing underlying secular factors that are driving the expense growth rate. That's the investment in infrastructure, which is
</t>
        </r>
        <r>
          <rPr>
            <sz val="9"/>
            <color rgb="FF000000"/>
            <rFont val="Tahoma"/>
            <family val="2"/>
          </rPr>
          <t xml:space="preserve">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t>
        </r>
        <r>
          <rPr>
            <sz val="9"/>
            <color rgb="FF000000"/>
            <rFont val="Tahoma"/>
            <family val="2"/>
          </rPr>
          <t xml:space="preserve">Oculus Go. I think I called that out on the call. And that's -- so we would expect that to tick down in 2019, so I wouldn't expect that 62 percent growth rate into Q1."
</t>
        </r>
        <r>
          <rPr>
            <sz val="9"/>
            <color rgb="FF000000"/>
            <rFont val="Tahoma"/>
            <family val="2"/>
          </rPr>
          <t>-Dave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Y84" authorId="4" shapeId="0" xr:uid="{4B3BA7F2-D01B-9941-9D40-40089E7B22A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Management stated 275m would be the estimated amount of effect Foreign Exchange rates have on their revenue</t>
        </r>
      </text>
    </comment>
  </commentList>
</comments>
</file>

<file path=xl/sharedStrings.xml><?xml version="1.0" encoding="utf-8"?>
<sst xmlns="http://schemas.openxmlformats.org/spreadsheetml/2006/main" count="420" uniqueCount="138">
  <si>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</si>
  <si>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</si>
  <si>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</si>
  <si>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</si>
  <si>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</si>
  <si>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</si>
  <si>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</si>
  <si>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</si>
  <si>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</si>
  <si>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</si>
  <si>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</si>
  <si>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</si>
  <si>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</si>
  <si>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</si>
  <si>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</si>
  <si>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</si>
  <si>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</si>
  <si>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</si>
  <si>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</si>
  <si>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</si>
  <si>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</si>
  <si>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</si>
  <si>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</si>
  <si>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</si>
  <si>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</si>
  <si>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</si>
  <si>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</si>
  <si>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</si>
  <si>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</si>
  <si>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</si>
  <si>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</si>
  <si>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</si>
  <si>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</si>
  <si>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</si>
  <si>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</si>
  <si>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</si>
  <si>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</si>
  <si>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</si>
  <si>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</si>
  <si>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</si>
  <si>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</si>
  <si>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</si>
  <si>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</si>
  <si>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</si>
  <si>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</si>
  <si>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</si>
  <si>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</si>
  <si>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</si>
  <si>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</si>
  <si>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</si>
  <si>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</si>
  <si>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</si>
  <si>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</si>
  <si>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</si>
  <si>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</si>
  <si>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</si>
  <si>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</si>
  <si>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</si>
  <si>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</si>
  <si>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</si>
  <si>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</si>
  <si>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</si>
  <si>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</si>
  <si>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</si>
  <si>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</si>
  <si>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</si>
  <si>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</si>
  <si>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</si>
  <si>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</si>
  <si>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</si>
  <si>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</si>
  <si>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</si>
  <si>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</si>
  <si>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</si>
  <si>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</si>
  <si>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</si>
  <si>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</si>
  <si>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</si>
  <si>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</si>
  <si>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</si>
  <si>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</si>
  <si>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</si>
  <si>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</si>
  <si>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</si>
  <si>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</si>
  <si>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</si>
  <si>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</si>
  <si>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</si>
  <si>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</si>
  <si>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</si>
  <si>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</si>
  <si>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</si>
  <si>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</si>
  <si>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</si>
  <si>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</si>
  <si>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</si>
  <si>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</si>
  <si>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</si>
  <si>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</si>
  <si>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</si>
  <si>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</si>
  <si>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</si>
  <si>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</si>
  <si>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</si>
  <si>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</si>
  <si>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</si>
  <si>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</si>
  <si>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</si>
  <si>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</si>
  <si>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</si>
  <si>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</si>
  <si>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</si>
  <si>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</si>
  <si>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</si>
  <si>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</si>
  <si>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</si>
  <si>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</si>
  <si>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</si>
  <si>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</si>
  <si>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</si>
  <si>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</si>
  <si>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</si>
  <si>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</si>
  <si>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</si>
  <si>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</si>
  <si>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</si>
  <si>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</si>
  <si>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</si>
  <si>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</si>
  <si>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</si>
  <si>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</si>
  <si>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</si>
  <si>
    <t>Revenue before changes</t>
  </si>
  <si>
    <t>EPS before changes</t>
  </si>
  <si>
    <t>Change in Revenue</t>
  </si>
  <si>
    <t xml:space="preserve">  Changes in EPS  </t>
  </si>
  <si>
    <t>Marketing expense (as a % of revenue, GAAP)</t>
  </si>
  <si>
    <t>G&amp;A expense (as a % of revenue,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</si>
</sst>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cellStyleXfs>
  <cellXfs count="21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165" fontId="61" fillId="0" borderId="0" xfId="2" applyNumberFormat="1" applyFont="1" applyAlignment="1">
      <alignment horizontal="right"/>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164" fontId="1" fillId="0" borderId="0" xfId="1" applyNumberFormat="1" applyFont="1" applyAlignment="1">
      <alignment horizontal="right"/>
    </xf>
    <xf numFmtId="0" fontId="1" fillId="0" borderId="0" xfId="0" applyFont="1" applyAlignment="1">
      <alignment horizontal="right"/>
    </xf>
    <xf numFmtId="43" fontId="1" fillId="0" borderId="0" xfId="1" applyFont="1" applyAlignment="1">
      <alignment horizontal="right"/>
    </xf>
    <xf numFmtId="164" fontId="1" fillId="0" borderId="4" xfId="1" applyNumberFormat="1" applyFont="1" applyBorder="1" applyAlignment="1">
      <alignment horizontal="right"/>
    </xf>
    <xf numFmtId="43" fontId="1" fillId="0" borderId="4" xfId="1" applyFont="1" applyBorder="1" applyAlignment="1">
      <alignment horizontal="right"/>
    </xf>
    <xf numFmtId="43" fontId="1" fillId="0" borderId="4" xfId="1" applyFont="1" applyFill="1" applyBorder="1" applyAlignment="1">
      <alignment horizontal="right"/>
    </xf>
    <xf numFmtId="9" fontId="1" fillId="0" borderId="4" xfId="1" applyNumberFormat="1" applyFont="1" applyFill="1" applyBorder="1" applyAlignment="1">
      <alignment horizontal="right"/>
    </xf>
    <xf numFmtId="166" fontId="1" fillId="0" borderId="4" xfId="2" applyNumberFormat="1" applyFont="1" applyFill="1" applyBorder="1" applyAlignment="1">
      <alignment horizontal="right"/>
    </xf>
    <xf numFmtId="164" fontId="4" fillId="0" borderId="4" xfId="1" applyNumberFormat="1" applyFont="1" applyBorder="1" applyAlignment="1">
      <alignment horizontal="right"/>
    </xf>
    <xf numFmtId="9" fontId="4" fillId="0" borderId="10" xfId="1" applyNumberFormat="1" applyFont="1" applyFill="1" applyBorder="1" applyAlignment="1">
      <alignment horizontal="right"/>
    </xf>
    <xf numFmtId="43" fontId="4" fillId="0" borderId="0" xfId="1" applyNumberFormat="1" applyFont="1"/>
    <xf numFmtId="164" fontId="4" fillId="0" borderId="7" xfId="1" applyNumberFormat="1" applyFont="1" applyBorder="1" applyAlignment="1">
      <alignment horizontal="right"/>
    </xf>
    <xf numFmtId="0" fontId="4" fillId="0" borderId="7" xfId="0" applyFont="1" applyBorder="1" applyAlignment="1">
      <alignment horizontal="right"/>
    </xf>
    <xf numFmtId="0" fontId="1" fillId="0" borderId="11" xfId="0" applyFont="1" applyBorder="1" applyAlignment="1">
      <alignment horizontal="right"/>
    </xf>
    <xf numFmtId="43" fontId="4" fillId="0" borderId="4" xfId="1" applyFont="1" applyFill="1" applyBorder="1" applyAlignment="1">
      <alignment horizontal="right"/>
    </xf>
    <xf numFmtId="43" fontId="61" fillId="0" borderId="4" xfId="1" applyFont="1" applyFill="1" applyBorder="1" applyAlignment="1">
      <alignment horizontal="right"/>
    </xf>
    <xf numFmtId="165" fontId="61" fillId="0" borderId="4" xfId="1" applyNumberFormat="1" applyFont="1" applyFill="1" applyBorder="1" applyAlignment="1">
      <alignment horizontal="right"/>
    </xf>
    <xf numFmtId="166" fontId="61" fillId="0" borderId="4" xfId="2" applyNumberFormat="1" applyFont="1" applyFill="1" applyBorder="1" applyAlignment="1">
      <alignment horizontal="right"/>
    </xf>
    <xf numFmtId="43" fontId="4" fillId="0" borderId="10" xfId="1" applyNumberFormat="1" applyFont="1" applyBorder="1"/>
    <xf numFmtId="165" fontId="67" fillId="0" borderId="0" xfId="2"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2637.83</c:v>
                </c:pt>
                <c:pt idx="5">
                  <c:v>2650.5510471071912</c:v>
                </c:pt>
                <c:pt idx="6">
                  <c:v>2690.5156944253367</c:v>
                </c:pt>
                <c:pt idx="7">
                  <c:v>2830.3260553095051</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6.7450884657582852</c:v>
                </c:pt>
                <c:pt idx="5">
                  <c:v>7.2689672614849083</c:v>
                </c:pt>
                <c:pt idx="6">
                  <c:v>8.961258219827231</c:v>
                </c:pt>
                <c:pt idx="7">
                  <c:v>7.7595589152395776</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Samir Parwani" id="{62975BEA-39A8-BE43-B2E8-54BE16BE7B89}" userId="S::sdp185@scarletmail.rutgers.edu::8bcb5878-0d6e-4656-97bb-3f8a914e74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Y42" dT="2020-07-23T00:02:03.35" personId="{62975BEA-39A8-BE43-B2E8-54BE16BE7B89}" id="{F5ECEABC-F3A2-084B-96BC-B9FB15D58125}">
    <text>Due to extra time from self-quarantine restrictions, many areas have seen extremely high levels of mobile and desktop app usage</text>
  </threadedComment>
  <threadedComment ref="AA43" dT="2020-07-23T01:16:44.72" personId="{62975BEA-39A8-BE43-B2E8-54BE16BE7B89}" id="{A4BB5ACE-38D5-B94D-ADA7-7275E3262E44}">
    <text>Facebook is launching Instagram Reels, a web based short-video sharing platform much alike TikTok, which has been banned by the Indian government amongst oithere recently, is expected to increase MAU.</text>
  </threadedComment>
  <threadedComment ref="Y52" dT="2020-07-23T00:03:04.49" personId="{62975BEA-39A8-BE43-B2E8-54BE16BE7B89}" id="{E956E412-1A2D-1646-A2AE-6C83A448D133}">
    <text>ARPU has seen drastic decrease, and especially as other analysts have estimated, many companies are less willing to spend on advertisements in this quarter</text>
  </threadedComment>
  <threadedComment ref="Y84" dT="2020-07-23T00:27:13.92" personId="{62975BEA-39A8-BE43-B2E8-54BE16BE7B89}" id="{4B3BA7F2-D01B-9941-9D40-40089E7B22AC}">
    <text>Management stated 275m would be the estimated amount of effect Foreign Exchange rates have on their revenue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H13" activePane="bottomRight" state="frozen"/>
      <selection pane="topRight" activeCell="D1" sqref="D1"/>
      <selection pane="bottomLeft" activeCell="A13" sqref="A13"/>
      <selection pane="bottomRight" activeCell="B11" sqref="B11:C11"/>
    </sheetView>
  </sheetViews>
  <sheetFormatPr defaultColWidth="8.7109375" defaultRowHeight="15" outlineLevelRow="1" outlineLevelCol="1" x14ac:dyDescent="0.25"/>
  <cols>
    <col min="1" max="1" width="1.7109375" style="4" customWidth="1"/>
    <col min="2" max="2" width="37.7109375" style="4" customWidth="1"/>
    <col min="3" max="3" width="10.7109375"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hidden="1" customWidth="1" outlineLevel="1"/>
    <col min="16" max="17" width="11.42578125" style="11" hidden="1" customWidth="1" outlineLevel="1"/>
    <col min="18" max="18" width="11.42578125" style="11" customWidth="1" collapsed="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0" width="11.42578125" style="3" customWidth="1" outlineLevel="1"/>
    <col min="31" max="32" width="11.42578125" style="11" customWidth="1" outlineLevel="1"/>
    <col min="33" max="33" width="11.42578125" style="11" customWidth="1"/>
    <col min="34" max="36" width="8.7109375" style="4"/>
    <col min="37" max="37" width="10.42578125" style="4" bestFit="1" customWidth="1"/>
    <col min="38" max="16384" width="8.7109375" style="4"/>
  </cols>
  <sheetData>
    <row r="1" spans="1:61" ht="9" customHeight="1" x14ac:dyDescent="0.25">
      <c r="B1" s="112" t="s">
        <v>15</v>
      </c>
    </row>
    <row r="2" spans="1:61" ht="59.25" customHeight="1" x14ac:dyDescent="0.25">
      <c r="B2" s="198" t="s">
        <v>14</v>
      </c>
      <c r="C2" s="199"/>
      <c r="K2" s="12"/>
      <c r="Y2" s="180"/>
      <c r="Z2" s="181"/>
      <c r="AA2" s="181"/>
      <c r="AB2" s="181"/>
      <c r="AC2" s="180"/>
      <c r="AD2" s="180"/>
      <c r="AE2" s="181"/>
      <c r="AF2" s="181"/>
      <c r="AG2" s="181"/>
    </row>
    <row r="3" spans="1:61" x14ac:dyDescent="0.25">
      <c r="B3" s="208" t="s">
        <v>129</v>
      </c>
      <c r="C3" s="209"/>
      <c r="D3" s="13"/>
      <c r="G3" s="14"/>
      <c r="H3" s="14"/>
      <c r="X3" s="172" t="s">
        <v>132</v>
      </c>
      <c r="Y3" s="169">
        <v>17200</v>
      </c>
      <c r="Z3" s="170">
        <v>18900.000000000004</v>
      </c>
      <c r="AA3" s="170">
        <v>23500</v>
      </c>
      <c r="AB3" s="170">
        <v>77337</v>
      </c>
      <c r="AC3" s="169">
        <v>21100.000000000004</v>
      </c>
      <c r="AD3" s="169">
        <v>20875.406764227329</v>
      </c>
      <c r="AE3" s="170">
        <v>23859.599271183732</v>
      </c>
      <c r="AF3" s="170">
        <v>30764.993964588954</v>
      </c>
      <c r="AG3" s="182">
        <v>96600.000000000015</v>
      </c>
    </row>
    <row r="4" spans="1:61" x14ac:dyDescent="0.25">
      <c r="B4" s="210" t="s">
        <v>130</v>
      </c>
      <c r="C4" s="211"/>
      <c r="D4" s="13"/>
      <c r="G4" s="14"/>
      <c r="H4" s="14"/>
      <c r="X4" s="177" t="s">
        <v>134</v>
      </c>
      <c r="Y4" s="3">
        <f>Y13-Y3</f>
        <v>474.93099199999779</v>
      </c>
      <c r="Z4" s="3">
        <f t="shared" ref="Z4:AG4" si="0">Z13-Z3</f>
        <v>320.53434883972295</v>
      </c>
      <c r="AA4" s="3">
        <f t="shared" si="0"/>
        <v>431.33912010210406</v>
      </c>
      <c r="AB4" s="3">
        <f t="shared" si="0"/>
        <v>1226.8044609418284</v>
      </c>
      <c r="AC4" s="3">
        <f t="shared" si="0"/>
        <v>319.64840939092755</v>
      </c>
      <c r="AD4" s="3">
        <f t="shared" si="0"/>
        <v>984.70683333871057</v>
      </c>
      <c r="AE4" s="3">
        <f t="shared" si="0"/>
        <v>828.49598488848278</v>
      </c>
      <c r="AF4" s="3">
        <f t="shared" si="0"/>
        <v>1103.0574976653406</v>
      </c>
      <c r="AG4" s="177">
        <f t="shared" si="0"/>
        <v>3235.9087252834579</v>
      </c>
      <c r="BI4" s="4" t="s">
        <v>15</v>
      </c>
    </row>
    <row r="5" spans="1:61" x14ac:dyDescent="0.25">
      <c r="B5" s="212" t="s">
        <v>131</v>
      </c>
      <c r="C5" s="213"/>
      <c r="D5" s="15"/>
      <c r="E5" s="13"/>
      <c r="F5" s="13"/>
      <c r="G5" s="14"/>
      <c r="H5" s="14"/>
      <c r="I5" s="14"/>
      <c r="J5" s="14"/>
      <c r="K5" s="14"/>
      <c r="L5" s="14"/>
      <c r="M5" s="13"/>
      <c r="N5" s="13"/>
      <c r="O5" s="13"/>
      <c r="P5" s="13"/>
      <c r="Q5" s="13"/>
      <c r="R5" s="13"/>
      <c r="S5" s="13"/>
      <c r="T5" s="13"/>
      <c r="U5" s="13"/>
      <c r="V5" s="13"/>
      <c r="W5" s="13"/>
      <c r="X5" s="173" t="s">
        <v>133</v>
      </c>
      <c r="Y5" s="171">
        <v>1.3723515677314799</v>
      </c>
      <c r="Z5" s="171">
        <v>1.695014060533657</v>
      </c>
      <c r="AA5" s="171">
        <v>2.4679436420880481</v>
      </c>
      <c r="AB5" s="171">
        <v>7.2445139173704201</v>
      </c>
      <c r="AC5" s="171">
        <v>1.948448098329395</v>
      </c>
      <c r="AD5" s="171">
        <v>2.1582262284033917</v>
      </c>
      <c r="AE5" s="171">
        <v>2.4599001333474257</v>
      </c>
      <c r="AF5" s="171">
        <v>3.2128036556206983</v>
      </c>
      <c r="AG5" s="173">
        <v>9.7793751627925953</v>
      </c>
    </row>
    <row r="6" spans="1:61" s="123" customFormat="1" ht="14.65" hidden="1" customHeight="1" x14ac:dyDescent="0.25">
      <c r="B6" s="154"/>
      <c r="C6" s="155"/>
      <c r="D6" s="156"/>
      <c r="E6" s="156"/>
      <c r="F6" s="156"/>
      <c r="G6" s="139"/>
      <c r="H6" s="139"/>
      <c r="I6" s="156"/>
      <c r="J6" s="156"/>
      <c r="K6" s="156"/>
      <c r="L6" s="156"/>
      <c r="M6" s="157"/>
      <c r="N6" s="156"/>
      <c r="O6" s="156"/>
      <c r="P6" s="156"/>
      <c r="Q6" s="156"/>
      <c r="R6" s="156"/>
      <c r="S6" s="156"/>
      <c r="T6" s="158"/>
      <c r="U6" s="159"/>
      <c r="V6" s="156"/>
      <c r="W6" s="158"/>
      <c r="X6" s="174"/>
      <c r="Y6" s="156"/>
      <c r="Z6" s="156"/>
      <c r="AA6" s="156"/>
      <c r="AB6" s="156"/>
      <c r="AC6" s="156"/>
      <c r="AD6" s="156"/>
      <c r="AE6" s="156"/>
      <c r="AF6" s="156"/>
      <c r="AG6" s="183"/>
    </row>
    <row r="7" spans="1:61" s="123" customFormat="1" ht="14.65" hidden="1" customHeight="1" x14ac:dyDescent="0.25">
      <c r="B7" s="160"/>
      <c r="C7" s="161"/>
      <c r="D7" s="156"/>
      <c r="E7" s="156"/>
      <c r="F7" s="156"/>
      <c r="G7" s="156"/>
      <c r="H7" s="127"/>
      <c r="I7" s="127"/>
      <c r="J7" s="127"/>
      <c r="K7" s="127"/>
      <c r="L7" s="127"/>
      <c r="M7" s="127"/>
      <c r="N7" s="127"/>
      <c r="O7" s="127"/>
      <c r="P7" s="127"/>
      <c r="Q7" s="127"/>
      <c r="R7" s="127"/>
      <c r="S7" s="127"/>
      <c r="T7" s="158"/>
      <c r="U7" s="159"/>
      <c r="V7" s="127"/>
      <c r="W7" s="158"/>
      <c r="X7" s="174"/>
      <c r="Y7" s="127"/>
      <c r="Z7" s="127"/>
      <c r="AA7" s="127"/>
      <c r="AB7" s="127"/>
      <c r="AC7" s="127"/>
      <c r="AD7" s="127"/>
      <c r="AE7" s="127"/>
      <c r="AF7" s="127"/>
      <c r="AG7" s="184"/>
    </row>
    <row r="8" spans="1:61" s="123" customFormat="1" ht="14.65" hidden="1" customHeight="1" x14ac:dyDescent="0.25">
      <c r="B8" s="160"/>
      <c r="C8" s="162"/>
      <c r="D8" s="156"/>
      <c r="E8" s="156"/>
      <c r="F8" s="138"/>
      <c r="G8" s="156"/>
      <c r="H8" s="127"/>
      <c r="I8" s="127"/>
      <c r="J8" s="127"/>
      <c r="K8" s="127"/>
      <c r="L8" s="127"/>
      <c r="M8" s="127"/>
      <c r="N8" s="127"/>
      <c r="O8" s="163"/>
      <c r="P8" s="127"/>
      <c r="Q8" s="127"/>
      <c r="R8" s="127"/>
      <c r="S8" s="118"/>
      <c r="T8" s="158"/>
      <c r="U8" s="164"/>
      <c r="V8" s="164"/>
      <c r="W8" s="118"/>
      <c r="X8" s="176"/>
      <c r="Y8" s="164"/>
      <c r="Z8" s="129"/>
      <c r="AA8" s="125"/>
      <c r="AB8" s="129"/>
      <c r="AC8" s="118"/>
      <c r="AD8" s="118"/>
      <c r="AE8" s="118"/>
      <c r="AF8" s="129"/>
      <c r="AG8" s="185"/>
    </row>
    <row r="9" spans="1:61" s="123" customFormat="1" ht="14.65" hidden="1" customHeight="1" x14ac:dyDescent="0.25">
      <c r="B9" s="165"/>
      <c r="C9" s="166"/>
      <c r="D9" s="156"/>
      <c r="E9" s="156"/>
      <c r="F9" s="138"/>
      <c r="G9" s="156"/>
      <c r="H9" s="129"/>
      <c r="I9" s="129"/>
      <c r="J9" s="129"/>
      <c r="K9" s="129"/>
      <c r="L9" s="129"/>
      <c r="M9" s="129"/>
      <c r="N9" s="129"/>
      <c r="O9" s="129"/>
      <c r="P9" s="129"/>
      <c r="Q9" s="129"/>
      <c r="R9" s="129"/>
      <c r="S9" s="136"/>
      <c r="T9" s="118"/>
      <c r="U9" s="167"/>
      <c r="V9" s="168"/>
      <c r="W9" s="127"/>
      <c r="X9" s="175"/>
      <c r="Y9" s="127"/>
      <c r="Z9" s="127"/>
      <c r="AA9" s="127"/>
      <c r="AB9" s="129"/>
      <c r="AC9" s="129"/>
      <c r="AD9" s="129"/>
      <c r="AE9" s="129"/>
      <c r="AF9" s="129"/>
      <c r="AG9" s="186"/>
    </row>
    <row r="10" spans="1:61" ht="17.649999999999999" customHeight="1" x14ac:dyDescent="0.25">
      <c r="B10" s="112" t="s">
        <v>15</v>
      </c>
      <c r="D10" s="17"/>
      <c r="E10" s="17"/>
      <c r="F10" s="17"/>
      <c r="G10" s="17"/>
      <c r="H10" s="18"/>
      <c r="I10" s="17"/>
      <c r="J10" s="17"/>
      <c r="K10" s="17"/>
      <c r="L10" s="17"/>
      <c r="M10" s="17"/>
      <c r="N10" s="17"/>
      <c r="O10" s="17"/>
      <c r="P10" s="17"/>
      <c r="Q10" s="17"/>
      <c r="R10" s="17"/>
      <c r="S10" s="110"/>
      <c r="T10" s="110"/>
      <c r="U10" s="146"/>
      <c r="V10" s="152"/>
      <c r="W10" s="153"/>
      <c r="X10" s="178" t="s">
        <v>135</v>
      </c>
      <c r="Y10" s="179">
        <f>Y31-Y5</f>
        <v>8.7173280135742548E-2</v>
      </c>
      <c r="Z10" s="179">
        <f t="shared" ref="Z10:AG10" si="1">Z31-Z5</f>
        <v>2.8043178112235223E-2</v>
      </c>
      <c r="AA10" s="179">
        <f t="shared" si="1"/>
        <v>1.3895828220674922E-2</v>
      </c>
      <c r="AB10" s="179">
        <f t="shared" si="1"/>
        <v>0.12911227493380828</v>
      </c>
      <c r="AC10" s="179">
        <f t="shared" si="1"/>
        <v>-4.7557680958774107E-3</v>
      </c>
      <c r="AD10" s="179">
        <f t="shared" si="1"/>
        <v>8.3328146196338437E-2</v>
      </c>
      <c r="AE10" s="179">
        <f t="shared" si="1"/>
        <v>6.0685175320246199E-2</v>
      </c>
      <c r="AF10" s="179">
        <f t="shared" si="1"/>
        <v>7.5571795594805202E-2</v>
      </c>
      <c r="AG10" s="187">
        <f t="shared" si="1"/>
        <v>0.21482930356320828</v>
      </c>
    </row>
    <row r="11" spans="1:61" ht="15.75" x14ac:dyDescent="0.25">
      <c r="A11" s="191"/>
      <c r="B11" s="189" t="s">
        <v>74</v>
      </c>
      <c r="C11" s="190"/>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649999999999999" customHeight="1" x14ac:dyDescent="0.4">
      <c r="A12" s="191"/>
      <c r="B12" s="196" t="s">
        <v>3</v>
      </c>
      <c r="C12" s="197"/>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117</v>
      </c>
      <c r="T12" s="27" t="s">
        <v>123</v>
      </c>
      <c r="U12" s="27" t="s">
        <v>124</v>
      </c>
      <c r="V12" s="27" t="s">
        <v>125</v>
      </c>
      <c r="W12" s="80" t="s">
        <v>126</v>
      </c>
      <c r="X12" s="27" t="s">
        <v>127</v>
      </c>
      <c r="Y12" s="25" t="s">
        <v>104</v>
      </c>
      <c r="Z12" s="25" t="s">
        <v>105</v>
      </c>
      <c r="AA12" s="25" t="s">
        <v>106</v>
      </c>
      <c r="AB12" s="82" t="s">
        <v>107</v>
      </c>
      <c r="AC12" s="25" t="s">
        <v>108</v>
      </c>
      <c r="AD12" s="25" t="s">
        <v>109</v>
      </c>
      <c r="AE12" s="25" t="s">
        <v>110</v>
      </c>
      <c r="AF12" s="25" t="s">
        <v>111</v>
      </c>
      <c r="AG12" s="82" t="s">
        <v>112</v>
      </c>
    </row>
    <row r="13" spans="1:61" x14ac:dyDescent="0.25">
      <c r="A13" s="123"/>
      <c r="B13" s="194" t="s">
        <v>19</v>
      </c>
      <c r="C13" s="195"/>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18">
        <v>15077</v>
      </c>
      <c r="T13" s="118">
        <v>16886</v>
      </c>
      <c r="U13" s="118">
        <v>17652</v>
      </c>
      <c r="V13" s="118">
        <f>70697-U13-T13-S13</f>
        <v>21082</v>
      </c>
      <c r="W13" s="113">
        <f>SUM(S13:V13)</f>
        <v>70697</v>
      </c>
      <c r="X13" s="118">
        <v>17737</v>
      </c>
      <c r="Y13" s="118">
        <f>+Y40</f>
        <v>17674.930991999998</v>
      </c>
      <c r="Z13" s="118">
        <f t="shared" ref="Z13:AA13" si="2">+Z40</f>
        <v>19220.534348839727</v>
      </c>
      <c r="AA13" s="118">
        <f t="shared" si="2"/>
        <v>23931.339120102104</v>
      </c>
      <c r="AB13" s="113">
        <f>SUM(X13:AA13)</f>
        <v>78563.804460941828</v>
      </c>
      <c r="AC13" s="118">
        <f t="shared" ref="AC13:AF13" si="3">+AC40</f>
        <v>21419.648409390931</v>
      </c>
      <c r="AD13" s="118">
        <f t="shared" si="3"/>
        <v>21860.11359756604</v>
      </c>
      <c r="AE13" s="118">
        <f t="shared" si="3"/>
        <v>24688.095256072214</v>
      </c>
      <c r="AF13" s="118">
        <f t="shared" si="3"/>
        <v>31868.051462254294</v>
      </c>
      <c r="AG13" s="113">
        <f>SUM(AC13:AF13)</f>
        <v>99835.908725283472</v>
      </c>
    </row>
    <row r="14" spans="1:61" ht="17.25" x14ac:dyDescent="0.4">
      <c r="A14" s="123"/>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20">
        <v>3307</v>
      </c>
      <c r="U14" s="120">
        <v>3155</v>
      </c>
      <c r="V14" s="120">
        <f>12770-U14-T14-S14</f>
        <v>3492</v>
      </c>
      <c r="W14" s="114">
        <f>SUM(S14:V14)</f>
        <v>12770</v>
      </c>
      <c r="X14" s="120">
        <v>3459</v>
      </c>
      <c r="Y14" s="120">
        <f>+Y13*(1-Y69)</f>
        <v>3534.9861983999986</v>
      </c>
      <c r="Z14" s="120">
        <f>+Z13*(1-Z69)</f>
        <v>3940.209541512143</v>
      </c>
      <c r="AA14" s="120">
        <f>+AA13*(1-AA69)</f>
        <v>4546.9544328193988</v>
      </c>
      <c r="AB14" s="114">
        <f>SUM(X14:AA14)</f>
        <v>15481.150172731541</v>
      </c>
      <c r="AC14" s="120">
        <f>+AC13*(1-AC69)</f>
        <v>4176.8314398312305</v>
      </c>
      <c r="AD14" s="120">
        <f>+AD13*(1-AD69)</f>
        <v>4044.1210155497188</v>
      </c>
      <c r="AE14" s="120">
        <f>+AE13*(1-AE69)</f>
        <v>4567.2976223733613</v>
      </c>
      <c r="AF14" s="120">
        <f>+AF13*(1-AF69)</f>
        <v>5895.5895205170464</v>
      </c>
      <c r="AG14" s="114">
        <f>SUM(AC14:AF14)</f>
        <v>18683.839598271355</v>
      </c>
    </row>
    <row r="15" spans="1:61" s="21" customFormat="1" x14ac:dyDescent="0.25">
      <c r="A15" s="126"/>
      <c r="B15" s="73" t="s">
        <v>66</v>
      </c>
      <c r="C15" s="74"/>
      <c r="D15" s="40">
        <f>+D13-D14</f>
        <v>4544</v>
      </c>
      <c r="E15" s="40">
        <f t="shared" ref="E15:G15" si="4">+E13-E14</f>
        <v>5520</v>
      </c>
      <c r="F15" s="40">
        <f t="shared" si="4"/>
        <v>6024</v>
      </c>
      <c r="G15" s="40">
        <f t="shared" si="4"/>
        <v>7761</v>
      </c>
      <c r="H15" s="41">
        <f>+H13-H14</f>
        <v>23849</v>
      </c>
      <c r="I15" s="40">
        <f>+I13-I14</f>
        <v>6873</v>
      </c>
      <c r="J15" s="40">
        <f t="shared" ref="J15" si="5">+J13-J14</f>
        <v>8084</v>
      </c>
      <c r="K15" s="40">
        <f t="shared" ref="K15" si="6">+K13-K14</f>
        <v>8880</v>
      </c>
      <c r="L15" s="40">
        <f t="shared" ref="L15" si="7">+L13-L14</f>
        <v>11361</v>
      </c>
      <c r="M15" s="41">
        <f>+M13-M14</f>
        <v>35198</v>
      </c>
      <c r="N15" s="40">
        <f>+N13-N14</f>
        <v>10039</v>
      </c>
      <c r="O15" s="40">
        <f t="shared" ref="O15" si="8">+O13-O14</f>
        <v>11017</v>
      </c>
      <c r="P15" s="40">
        <f t="shared" ref="P15" si="9">+P13-P14</f>
        <v>11309</v>
      </c>
      <c r="Q15" s="40">
        <f t="shared" ref="Q15" si="10">+Q13-Q14</f>
        <v>14118</v>
      </c>
      <c r="R15" s="41">
        <f>+R13-R14</f>
        <v>46483</v>
      </c>
      <c r="S15" s="40">
        <f>+S13-S14</f>
        <v>12261</v>
      </c>
      <c r="T15" s="119">
        <f t="shared" ref="T15" si="11">+T13-T14</f>
        <v>13579</v>
      </c>
      <c r="U15" s="40">
        <f t="shared" ref="U15" si="12">+U13-U14</f>
        <v>14497</v>
      </c>
      <c r="V15" s="40">
        <f t="shared" ref="V15" si="13">+V13-V14</f>
        <v>17590</v>
      </c>
      <c r="W15" s="41">
        <f>+W13-W14</f>
        <v>57927</v>
      </c>
      <c r="X15" s="40">
        <f>+X13-X14</f>
        <v>14278</v>
      </c>
      <c r="Y15" s="40">
        <f t="shared" ref="Y15" si="14">+Y13-Y14</f>
        <v>14139.9447936</v>
      </c>
      <c r="Z15" s="40">
        <f t="shared" ref="Z15" si="15">+Z13-Z14</f>
        <v>15280.324807327583</v>
      </c>
      <c r="AA15" s="40">
        <f t="shared" ref="AA15" si="16">+AA13-AA14</f>
        <v>19384.384687282705</v>
      </c>
      <c r="AB15" s="115">
        <f>+AB13-AB14</f>
        <v>63082.654288210288</v>
      </c>
      <c r="AC15" s="40">
        <f>+AC13-AC14</f>
        <v>17242.816969559703</v>
      </c>
      <c r="AD15" s="40">
        <f t="shared" ref="AD15" si="17">+AD13-AD14</f>
        <v>17815.992582016323</v>
      </c>
      <c r="AE15" s="40">
        <f t="shared" ref="AE15" si="18">+AE13-AE14</f>
        <v>20120.797633698854</v>
      </c>
      <c r="AF15" s="40">
        <f t="shared" ref="AF15" si="19">+AF13-AF14</f>
        <v>25972.461941737249</v>
      </c>
      <c r="AG15" s="115">
        <f>+AG13-AG14</f>
        <v>81152.069127012117</v>
      </c>
    </row>
    <row r="16" spans="1:61" x14ac:dyDescent="0.25">
      <c r="A16" s="123"/>
      <c r="B16" s="31" t="s">
        <v>21</v>
      </c>
      <c r="C16" s="71"/>
      <c r="D16" s="14"/>
      <c r="E16" s="14"/>
      <c r="F16" s="14"/>
      <c r="G16" s="14"/>
      <c r="H16" s="30"/>
      <c r="I16" s="14"/>
      <c r="J16" s="14"/>
      <c r="K16" s="14"/>
      <c r="L16" s="14"/>
      <c r="M16" s="30"/>
      <c r="N16" s="14"/>
      <c r="O16" s="14"/>
      <c r="P16" s="14"/>
      <c r="Q16" s="14"/>
      <c r="R16" s="30"/>
      <c r="S16" s="14"/>
      <c r="T16" s="139"/>
      <c r="U16" s="14"/>
      <c r="V16" s="14"/>
      <c r="W16" s="30"/>
      <c r="X16" s="14"/>
      <c r="Y16" s="14"/>
      <c r="Z16" s="14"/>
      <c r="AA16" s="14"/>
      <c r="AB16" s="113"/>
      <c r="AC16" s="14"/>
      <c r="AD16" s="14"/>
      <c r="AE16" s="14"/>
      <c r="AF16" s="14"/>
      <c r="AG16" s="113"/>
    </row>
    <row r="17" spans="1:33" x14ac:dyDescent="0.25">
      <c r="A17" s="123"/>
      <c r="B17" s="75" t="s">
        <v>68</v>
      </c>
      <c r="C17" s="32"/>
      <c r="D17" s="29">
        <v>1343</v>
      </c>
      <c r="E17" s="29">
        <v>1463</v>
      </c>
      <c r="F17" s="29">
        <v>1539</v>
      </c>
      <c r="G17" s="29">
        <f>5919-F17-E17-D17</f>
        <v>1574</v>
      </c>
      <c r="H17" s="30">
        <f t="shared" ref="H17:H19" si="20">SUM(D17:G17)</f>
        <v>5919</v>
      </c>
      <c r="I17" s="29">
        <v>1834</v>
      </c>
      <c r="J17" s="29">
        <v>1919</v>
      </c>
      <c r="K17" s="29">
        <v>2052</v>
      </c>
      <c r="L17" s="29">
        <v>1949</v>
      </c>
      <c r="M17" s="30">
        <f t="shared" ref="M17:M19" si="21">SUM(I17:L17)</f>
        <v>7754</v>
      </c>
      <c r="N17" s="29">
        <v>2238</v>
      </c>
      <c r="O17" s="29">
        <v>2523</v>
      </c>
      <c r="P17" s="29">
        <v>2657</v>
      </c>
      <c r="Q17" s="29">
        <v>2855</v>
      </c>
      <c r="R17" s="30">
        <f t="shared" ref="R17:R19" si="22">SUM(N17:Q17)</f>
        <v>10273</v>
      </c>
      <c r="S17" s="29">
        <v>2860</v>
      </c>
      <c r="T17" s="118">
        <v>3315</v>
      </c>
      <c r="U17" s="29">
        <v>3548</v>
      </c>
      <c r="V17" s="29">
        <f>13600-U17-T17-S17</f>
        <v>3877</v>
      </c>
      <c r="W17" s="30">
        <f t="shared" ref="W17:W19" si="23">SUM(S17:V17)</f>
        <v>13600</v>
      </c>
      <c r="X17" s="29">
        <v>4015</v>
      </c>
      <c r="Y17" s="29">
        <f>+Y13*Y70</f>
        <v>4241.9834380799994</v>
      </c>
      <c r="Z17" s="29">
        <f>+Z13*Z70</f>
        <v>4516.8255719773351</v>
      </c>
      <c r="AA17" s="29">
        <f>+AA13*AA70</f>
        <v>5264.8946064224629</v>
      </c>
      <c r="AB17" s="113">
        <f>SUM(X17:AA17)</f>
        <v>18038.703616479797</v>
      </c>
      <c r="AC17" s="29">
        <f>+AC13*AC70</f>
        <v>5033.6173762068684</v>
      </c>
      <c r="AD17" s="29">
        <f>+AD13*AD70</f>
        <v>4809.224991464529</v>
      </c>
      <c r="AE17" s="29">
        <f>+AE13*AE70</f>
        <v>5431.3809563358873</v>
      </c>
      <c r="AF17" s="29">
        <f>+AF13*AF70</f>
        <v>7010.9713216959444</v>
      </c>
      <c r="AG17" s="113">
        <f t="shared" ref="AG17:AG19" si="24">SUM(AC17:AF17)</f>
        <v>22285.194645703232</v>
      </c>
    </row>
    <row r="18" spans="1:33" x14ac:dyDescent="0.25">
      <c r="A18" s="123"/>
      <c r="B18" s="75" t="s">
        <v>69</v>
      </c>
      <c r="C18" s="32"/>
      <c r="D18" s="29">
        <v>826</v>
      </c>
      <c r="E18" s="29">
        <v>899</v>
      </c>
      <c r="F18" s="29">
        <v>925</v>
      </c>
      <c r="G18" s="29">
        <f>3772-F18-E18-D18</f>
        <v>1122</v>
      </c>
      <c r="H18" s="30">
        <f t="shared" si="20"/>
        <v>3772</v>
      </c>
      <c r="I18" s="29">
        <v>1057</v>
      </c>
      <c r="J18" s="29">
        <v>1124</v>
      </c>
      <c r="K18" s="29">
        <v>1170</v>
      </c>
      <c r="L18" s="29">
        <v>1374</v>
      </c>
      <c r="M18" s="30">
        <f t="shared" si="21"/>
        <v>4725</v>
      </c>
      <c r="N18" s="29">
        <v>1595</v>
      </c>
      <c r="O18" s="29">
        <v>1855</v>
      </c>
      <c r="P18" s="29">
        <v>1928</v>
      </c>
      <c r="Q18" s="29">
        <v>2467</v>
      </c>
      <c r="R18" s="30">
        <f t="shared" si="22"/>
        <v>7845</v>
      </c>
      <c r="S18" s="29">
        <v>2020</v>
      </c>
      <c r="T18" s="118">
        <v>2414</v>
      </c>
      <c r="U18" s="29">
        <v>2416</v>
      </c>
      <c r="V18" s="29">
        <f>9876-U18-T18-S18</f>
        <v>3026</v>
      </c>
      <c r="W18" s="30">
        <f t="shared" si="23"/>
        <v>9876</v>
      </c>
      <c r="X18" s="29">
        <v>2787</v>
      </c>
      <c r="Y18" s="29">
        <f>+Y13*Y71</f>
        <v>3004.7382686399997</v>
      </c>
      <c r="Z18" s="29">
        <f>+Z13*Z71</f>
        <v>3171.3881675585549</v>
      </c>
      <c r="AA18" s="29">
        <f>+AA13*AA71</f>
        <v>3589.7008680153153</v>
      </c>
      <c r="AB18" s="113">
        <f t="shared" ref="AB18:AB19" si="25">SUM(X18:AA18)</f>
        <v>12552.82730421387</v>
      </c>
      <c r="AC18" s="29">
        <f>+AC13*AC71</f>
        <v>3512.8223391401129</v>
      </c>
      <c r="AD18" s="29">
        <f>+AD13*AD71</f>
        <v>3497.6181756105666</v>
      </c>
      <c r="AE18" s="29">
        <f>+AE13*AE71</f>
        <v>3950.0952409715542</v>
      </c>
      <c r="AF18" s="29">
        <f>+AF13*AF71</f>
        <v>5098.8882339606871</v>
      </c>
      <c r="AG18" s="113">
        <f t="shared" si="24"/>
        <v>16059.42398968292</v>
      </c>
    </row>
    <row r="19" spans="1:33" ht="17.25" customHeight="1" x14ac:dyDescent="0.4">
      <c r="A19" s="123"/>
      <c r="B19" s="75" t="s">
        <v>70</v>
      </c>
      <c r="C19" s="32"/>
      <c r="D19" s="34">
        <v>366</v>
      </c>
      <c r="E19" s="34">
        <v>412</v>
      </c>
      <c r="F19" s="34">
        <v>438</v>
      </c>
      <c r="G19" s="34">
        <f>1731-F19-E19-D19</f>
        <v>515</v>
      </c>
      <c r="H19" s="35">
        <f t="shared" si="20"/>
        <v>1731</v>
      </c>
      <c r="I19" s="34">
        <v>655</v>
      </c>
      <c r="J19" s="34">
        <v>640</v>
      </c>
      <c r="K19" s="34">
        <v>536</v>
      </c>
      <c r="L19" s="34">
        <v>686</v>
      </c>
      <c r="M19" s="35">
        <f t="shared" si="21"/>
        <v>2517</v>
      </c>
      <c r="N19" s="34">
        <v>757</v>
      </c>
      <c r="O19" s="34">
        <v>776</v>
      </c>
      <c r="P19" s="34">
        <v>943</v>
      </c>
      <c r="Q19" s="34">
        <v>976</v>
      </c>
      <c r="R19" s="35">
        <f t="shared" si="22"/>
        <v>3452</v>
      </c>
      <c r="S19" s="120">
        <v>4064</v>
      </c>
      <c r="T19" s="120">
        <v>3224</v>
      </c>
      <c r="U19" s="34">
        <v>1348</v>
      </c>
      <c r="V19" s="34">
        <f>10465-U19-T19-S19</f>
        <v>1829</v>
      </c>
      <c r="W19" s="35">
        <f t="shared" si="23"/>
        <v>10465</v>
      </c>
      <c r="X19" s="34">
        <v>1583</v>
      </c>
      <c r="Y19" s="34">
        <f>Y13*Y72</f>
        <v>1944.2424091199998</v>
      </c>
      <c r="Z19" s="34">
        <f>Z13*Z72</f>
        <v>1710.6275570467355</v>
      </c>
      <c r="AA19" s="34">
        <f>AA13*AA72</f>
        <v>1890.5757904880663</v>
      </c>
      <c r="AB19" s="114">
        <f t="shared" si="25"/>
        <v>7128.4457566548026</v>
      </c>
      <c r="AC19" s="34">
        <f>AC13*AC72</f>
        <v>1927.7683568451837</v>
      </c>
      <c r="AD19" s="34">
        <f>AD13*AD72</f>
        <v>1748.8090878052833</v>
      </c>
      <c r="AE19" s="34">
        <f>AE13*AE72</f>
        <v>1975.0476204857771</v>
      </c>
      <c r="AF19" s="34">
        <f>AF13*AF72</f>
        <v>2358.2358082068176</v>
      </c>
      <c r="AG19" s="114">
        <f t="shared" si="24"/>
        <v>8009.8608733430619</v>
      </c>
    </row>
    <row r="20" spans="1:33" s="39" customFormat="1" ht="17.25" customHeight="1" x14ac:dyDescent="0.4">
      <c r="A20" s="148"/>
      <c r="B20" s="90" t="s">
        <v>11</v>
      </c>
      <c r="C20" s="36"/>
      <c r="D20" s="37">
        <f t="shared" ref="D20:AG20" si="26">SUM(D17:D19)</f>
        <v>2535</v>
      </c>
      <c r="E20" s="37">
        <f t="shared" si="26"/>
        <v>2774</v>
      </c>
      <c r="F20" s="37">
        <f t="shared" si="26"/>
        <v>2902</v>
      </c>
      <c r="G20" s="37">
        <f t="shared" si="26"/>
        <v>3211</v>
      </c>
      <c r="H20" s="38">
        <f t="shared" si="26"/>
        <v>11422</v>
      </c>
      <c r="I20" s="37">
        <f t="shared" si="26"/>
        <v>3546</v>
      </c>
      <c r="J20" s="37">
        <f t="shared" si="26"/>
        <v>3683</v>
      </c>
      <c r="K20" s="37">
        <f t="shared" si="26"/>
        <v>3758</v>
      </c>
      <c r="L20" s="37">
        <f t="shared" si="26"/>
        <v>4009</v>
      </c>
      <c r="M20" s="38">
        <f t="shared" si="26"/>
        <v>14996</v>
      </c>
      <c r="N20" s="37">
        <f t="shared" si="26"/>
        <v>4590</v>
      </c>
      <c r="O20" s="37">
        <f t="shared" si="26"/>
        <v>5154</v>
      </c>
      <c r="P20" s="37">
        <f t="shared" si="26"/>
        <v>5528</v>
      </c>
      <c r="Q20" s="37">
        <f t="shared" si="26"/>
        <v>6298</v>
      </c>
      <c r="R20" s="38">
        <f t="shared" si="26"/>
        <v>21570</v>
      </c>
      <c r="S20" s="37">
        <f t="shared" si="26"/>
        <v>8944</v>
      </c>
      <c r="T20" s="140">
        <f t="shared" si="26"/>
        <v>8953</v>
      </c>
      <c r="U20" s="37">
        <f t="shared" si="26"/>
        <v>7312</v>
      </c>
      <c r="V20" s="37">
        <f t="shared" si="26"/>
        <v>8732</v>
      </c>
      <c r="W20" s="38">
        <f t="shared" si="26"/>
        <v>33941</v>
      </c>
      <c r="X20" s="37">
        <f t="shared" si="26"/>
        <v>8385</v>
      </c>
      <c r="Y20" s="37">
        <f t="shared" si="26"/>
        <v>9190.9641158399991</v>
      </c>
      <c r="Z20" s="37">
        <f t="shared" si="26"/>
        <v>9398.8412965826246</v>
      </c>
      <c r="AA20" s="37">
        <f t="shared" si="26"/>
        <v>10745.171264925844</v>
      </c>
      <c r="AB20" s="116">
        <f t="shared" si="26"/>
        <v>37719.976677348466</v>
      </c>
      <c r="AC20" s="37">
        <f t="shared" si="26"/>
        <v>10474.208072192165</v>
      </c>
      <c r="AD20" s="37">
        <f t="shared" si="26"/>
        <v>10055.652254880379</v>
      </c>
      <c r="AE20" s="37">
        <f t="shared" si="26"/>
        <v>11356.523817793219</v>
      </c>
      <c r="AF20" s="37">
        <f t="shared" si="26"/>
        <v>14468.095363863449</v>
      </c>
      <c r="AG20" s="116">
        <f t="shared" si="26"/>
        <v>46354.479508729215</v>
      </c>
    </row>
    <row r="21" spans="1:33" x14ac:dyDescent="0.25">
      <c r="A21" s="123"/>
      <c r="B21" s="90" t="s">
        <v>22</v>
      </c>
      <c r="C21" s="33"/>
      <c r="D21" s="40">
        <f>D15-D20</f>
        <v>2009</v>
      </c>
      <c r="E21" s="40">
        <f t="shared" ref="E21:F21" si="27">E15-E20</f>
        <v>2746</v>
      </c>
      <c r="F21" s="40">
        <f t="shared" si="27"/>
        <v>3122</v>
      </c>
      <c r="G21" s="40">
        <f>G15-G20</f>
        <v>4550</v>
      </c>
      <c r="H21" s="41">
        <f>H15-H20</f>
        <v>12427</v>
      </c>
      <c r="I21" s="40">
        <f>I15-I20</f>
        <v>3327</v>
      </c>
      <c r="J21" s="40">
        <f t="shared" ref="J21" si="28">J15-J20</f>
        <v>4401</v>
      </c>
      <c r="K21" s="40">
        <f t="shared" ref="K21" si="29">K15-K20</f>
        <v>5122</v>
      </c>
      <c r="L21" s="40">
        <f>L15-L20</f>
        <v>7352</v>
      </c>
      <c r="M21" s="41">
        <f>M15-M20</f>
        <v>20202</v>
      </c>
      <c r="N21" s="40">
        <f>N15-N20</f>
        <v>5449</v>
      </c>
      <c r="O21" s="40">
        <f t="shared" ref="O21" si="30">O15-O20</f>
        <v>5863</v>
      </c>
      <c r="P21" s="40">
        <f t="shared" ref="P21" si="31">P15-P20</f>
        <v>5781</v>
      </c>
      <c r="Q21" s="40">
        <f>Q15-Q20</f>
        <v>7820</v>
      </c>
      <c r="R21" s="41">
        <f>R15-R20</f>
        <v>24913</v>
      </c>
      <c r="S21" s="119">
        <f>S15-S20</f>
        <v>3317</v>
      </c>
      <c r="T21" s="119">
        <f t="shared" ref="T21" si="32">T15-T20</f>
        <v>4626</v>
      </c>
      <c r="U21" s="119">
        <f t="shared" ref="U21" si="33">U15-U20</f>
        <v>7185</v>
      </c>
      <c r="V21" s="119">
        <f>V15-V20</f>
        <v>8858</v>
      </c>
      <c r="W21" s="41">
        <f>W15-W20</f>
        <v>23986</v>
      </c>
      <c r="X21" s="40">
        <f>X15-X20</f>
        <v>5893</v>
      </c>
      <c r="Y21" s="40">
        <f t="shared" ref="Y21" si="34">Y15-Y20</f>
        <v>4948.9806777600006</v>
      </c>
      <c r="Z21" s="40">
        <f t="shared" ref="Z21" si="35">Z15-Z20</f>
        <v>5881.483510744958</v>
      </c>
      <c r="AA21" s="40">
        <f>AA15-AA20</f>
        <v>8639.213422356861</v>
      </c>
      <c r="AB21" s="115">
        <f>AB15-AB20</f>
        <v>25362.677610861821</v>
      </c>
      <c r="AC21" s="40">
        <f>AC15-AC20</f>
        <v>6768.6088973675378</v>
      </c>
      <c r="AD21" s="40">
        <f t="shared" ref="AD21" si="36">AD15-AD20</f>
        <v>7760.3403271359439</v>
      </c>
      <c r="AE21" s="40">
        <f t="shared" ref="AE21" si="37">AE15-AE20</f>
        <v>8764.2738159056353</v>
      </c>
      <c r="AF21" s="40">
        <f>AF15-AF20</f>
        <v>11504.3665778738</v>
      </c>
      <c r="AG21" s="115">
        <f>AG15-AG20</f>
        <v>34797.589618282902</v>
      </c>
    </row>
    <row r="22" spans="1:33" ht="17.25" x14ac:dyDescent="0.4">
      <c r="A22" s="123"/>
      <c r="B22" s="70" t="s">
        <v>71</v>
      </c>
      <c r="C22" s="69"/>
      <c r="D22" s="34">
        <v>56</v>
      </c>
      <c r="E22" s="34">
        <v>20</v>
      </c>
      <c r="F22" s="34">
        <v>47</v>
      </c>
      <c r="G22" s="34">
        <v>-32</v>
      </c>
      <c r="H22" s="35">
        <f t="shared" ref="H22" si="38">SUM(D22:G22)</f>
        <v>91</v>
      </c>
      <c r="I22" s="34">
        <v>81</v>
      </c>
      <c r="J22" s="34">
        <v>87</v>
      </c>
      <c r="K22" s="34">
        <v>114</v>
      </c>
      <c r="L22" s="34">
        <v>110</v>
      </c>
      <c r="M22" s="35">
        <f t="shared" ref="M22" si="39">SUM(I22:L22)</f>
        <v>392</v>
      </c>
      <c r="N22" s="34">
        <v>161</v>
      </c>
      <c r="O22" s="34">
        <v>5</v>
      </c>
      <c r="P22" s="34">
        <v>131</v>
      </c>
      <c r="Q22" s="34">
        <v>151</v>
      </c>
      <c r="R22" s="35">
        <f t="shared" ref="R22" si="40">SUM(N22:Q22)</f>
        <v>448</v>
      </c>
      <c r="S22" s="120">
        <v>165</v>
      </c>
      <c r="T22" s="120">
        <v>206</v>
      </c>
      <c r="U22" s="120">
        <v>144</v>
      </c>
      <c r="V22" s="120">
        <f>826-U22-T22-S22</f>
        <v>311</v>
      </c>
      <c r="W22" s="35">
        <f t="shared" ref="W22" si="41">SUM(S22:V22)</f>
        <v>826</v>
      </c>
      <c r="X22" s="120">
        <v>-32</v>
      </c>
      <c r="Y22" s="57">
        <f>AVERAGE(X22,V22,U22,T22)</f>
        <v>157.25</v>
      </c>
      <c r="Z22" s="57">
        <f>AVERAGE(Y22,X22,V22,U22)</f>
        <v>145.0625</v>
      </c>
      <c r="AA22" s="57">
        <f>AVERAGE(Z22,Y22,X22,V22)</f>
        <v>145.328125</v>
      </c>
      <c r="AB22" s="114">
        <f t="shared" ref="AB22" si="42">SUM(X22:AA22)</f>
        <v>415.640625</v>
      </c>
      <c r="AC22" s="57">
        <f>AVERAGE(AA22,Z22,Y22,X22)</f>
        <v>103.91015625</v>
      </c>
      <c r="AD22" s="57">
        <f>AVERAGE(AC22,AA22,Z22,Y22)</f>
        <v>137.8876953125</v>
      </c>
      <c r="AE22" s="57">
        <f>AVERAGE(AD22,AC22,AA22,Z22)</f>
        <v>133.047119140625</v>
      </c>
      <c r="AF22" s="57">
        <f>AVERAGE(AE22,AD22,AC22,AA22)</f>
        <v>130.04327392578125</v>
      </c>
      <c r="AG22" s="114">
        <f t="shared" ref="AG22" si="43">SUM(AC22:AF22)</f>
        <v>504.88824462890625</v>
      </c>
    </row>
    <row r="23" spans="1:33" x14ac:dyDescent="0.25">
      <c r="A23" s="123"/>
      <c r="B23" s="202" t="s">
        <v>23</v>
      </c>
      <c r="C23" s="203"/>
      <c r="D23" s="40">
        <f t="shared" ref="D23:AG23" si="44">D21+D22</f>
        <v>2065</v>
      </c>
      <c r="E23" s="40">
        <f t="shared" si="44"/>
        <v>2766</v>
      </c>
      <c r="F23" s="40">
        <f t="shared" si="44"/>
        <v>3169</v>
      </c>
      <c r="G23" s="40">
        <f t="shared" si="44"/>
        <v>4518</v>
      </c>
      <c r="H23" s="41">
        <f t="shared" si="44"/>
        <v>12518</v>
      </c>
      <c r="I23" s="40">
        <f t="shared" si="44"/>
        <v>3408</v>
      </c>
      <c r="J23" s="40">
        <f t="shared" si="44"/>
        <v>4488</v>
      </c>
      <c r="K23" s="40">
        <f t="shared" si="44"/>
        <v>5236</v>
      </c>
      <c r="L23" s="40">
        <f t="shared" si="44"/>
        <v>7462</v>
      </c>
      <c r="M23" s="41">
        <f t="shared" si="44"/>
        <v>20594</v>
      </c>
      <c r="N23" s="40">
        <f t="shared" si="44"/>
        <v>5610</v>
      </c>
      <c r="O23" s="40">
        <f t="shared" si="44"/>
        <v>5868</v>
      </c>
      <c r="P23" s="40">
        <f t="shared" si="44"/>
        <v>5912</v>
      </c>
      <c r="Q23" s="40">
        <f t="shared" si="44"/>
        <v>7971</v>
      </c>
      <c r="R23" s="41">
        <f t="shared" si="44"/>
        <v>25361</v>
      </c>
      <c r="S23" s="119">
        <f t="shared" si="44"/>
        <v>3482</v>
      </c>
      <c r="T23" s="119">
        <f t="shared" si="44"/>
        <v>4832</v>
      </c>
      <c r="U23" s="40">
        <f t="shared" si="44"/>
        <v>7329</v>
      </c>
      <c r="V23" s="40">
        <f>V21+V22</f>
        <v>9169</v>
      </c>
      <c r="W23" s="41">
        <f t="shared" si="44"/>
        <v>24812</v>
      </c>
      <c r="X23" s="119">
        <f t="shared" si="44"/>
        <v>5861</v>
      </c>
      <c r="Y23" s="40">
        <f t="shared" si="44"/>
        <v>5106.2306777600006</v>
      </c>
      <c r="Z23" s="40">
        <f t="shared" si="44"/>
        <v>6026.546010744958</v>
      </c>
      <c r="AA23" s="40">
        <f t="shared" si="44"/>
        <v>8784.541547356861</v>
      </c>
      <c r="AB23" s="115">
        <f t="shared" si="44"/>
        <v>25778.318235861821</v>
      </c>
      <c r="AC23" s="40">
        <f t="shared" si="44"/>
        <v>6872.5190536175378</v>
      </c>
      <c r="AD23" s="40">
        <f t="shared" si="44"/>
        <v>7898.2280224484439</v>
      </c>
      <c r="AE23" s="40">
        <f t="shared" si="44"/>
        <v>8897.3209350462603</v>
      </c>
      <c r="AF23" s="40">
        <f t="shared" si="44"/>
        <v>11634.409851799581</v>
      </c>
      <c r="AG23" s="115">
        <f t="shared" si="44"/>
        <v>35302.477862911808</v>
      </c>
    </row>
    <row r="24" spans="1:33" ht="17.25" x14ac:dyDescent="0.4">
      <c r="A24" s="123"/>
      <c r="B24" s="194" t="s">
        <v>7</v>
      </c>
      <c r="C24" s="195"/>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20">
        <v>-1053</v>
      </c>
      <c r="T24" s="120">
        <v>-2216</v>
      </c>
      <c r="U24" s="34">
        <v>-1238</v>
      </c>
      <c r="V24" s="34">
        <f>-6327-U24-T24-S24</f>
        <v>-1820</v>
      </c>
      <c r="W24" s="35">
        <f>SUM(S24:V24)</f>
        <v>-6327</v>
      </c>
      <c r="X24" s="120">
        <v>-959</v>
      </c>
      <c r="Y24" s="34">
        <f>+Y23*-Y76</f>
        <v>-919.12152199680008</v>
      </c>
      <c r="Z24" s="34">
        <f>+Z23*-Z76</f>
        <v>-1084.7782819340923</v>
      </c>
      <c r="AA24" s="34">
        <f>+AA23*-AA76</f>
        <v>-1669.0628939978037</v>
      </c>
      <c r="AB24" s="114">
        <f>SUM(X24:AA24)</f>
        <v>-4631.9626979286968</v>
      </c>
      <c r="AC24" s="34">
        <f>+AC23*-AC76</f>
        <v>-1305.7786201873323</v>
      </c>
      <c r="AD24" s="34">
        <f>+AD23*-AD76</f>
        <v>-1480.6635931907563</v>
      </c>
      <c r="AE24" s="34">
        <f>+AE23*-AE76</f>
        <v>-1684.572262915133</v>
      </c>
      <c r="AF24" s="34">
        <f>+AF23*-AF76</f>
        <v>-2229.9495302174792</v>
      </c>
      <c r="AG24" s="114">
        <f>SUM(AC24:AF24)</f>
        <v>-6700.9640065107005</v>
      </c>
    </row>
    <row r="25" spans="1:33" x14ac:dyDescent="0.25">
      <c r="A25" s="130"/>
      <c r="B25" s="202" t="s">
        <v>8</v>
      </c>
      <c r="C25" s="203"/>
      <c r="D25" s="40">
        <f t="shared" ref="D25:AG25" si="45">+D23+D24</f>
        <v>1510</v>
      </c>
      <c r="E25" s="40">
        <f t="shared" si="45"/>
        <v>2055</v>
      </c>
      <c r="F25" s="40">
        <f t="shared" si="45"/>
        <v>2379</v>
      </c>
      <c r="G25" s="40">
        <f t="shared" si="45"/>
        <v>4273</v>
      </c>
      <c r="H25" s="41">
        <f t="shared" si="45"/>
        <v>10217</v>
      </c>
      <c r="I25" s="40">
        <f t="shared" si="45"/>
        <v>3064</v>
      </c>
      <c r="J25" s="40">
        <f t="shared" si="45"/>
        <v>3894</v>
      </c>
      <c r="K25" s="40">
        <f t="shared" si="45"/>
        <v>4707</v>
      </c>
      <c r="L25" s="40">
        <f t="shared" si="45"/>
        <v>4268</v>
      </c>
      <c r="M25" s="41">
        <f t="shared" si="45"/>
        <v>15933</v>
      </c>
      <c r="N25" s="40">
        <f t="shared" si="45"/>
        <v>4988</v>
      </c>
      <c r="O25" s="40">
        <f t="shared" si="45"/>
        <v>5106</v>
      </c>
      <c r="P25" s="40">
        <f t="shared" si="45"/>
        <v>5137</v>
      </c>
      <c r="Q25" s="40">
        <f t="shared" si="45"/>
        <v>6882</v>
      </c>
      <c r="R25" s="41">
        <f t="shared" si="45"/>
        <v>22113</v>
      </c>
      <c r="S25" s="119">
        <f t="shared" si="45"/>
        <v>2429</v>
      </c>
      <c r="T25" s="119">
        <f t="shared" si="45"/>
        <v>2616</v>
      </c>
      <c r="U25" s="40">
        <f t="shared" si="45"/>
        <v>6091</v>
      </c>
      <c r="V25" s="40">
        <f t="shared" si="45"/>
        <v>7349</v>
      </c>
      <c r="W25" s="41">
        <f t="shared" si="45"/>
        <v>18485</v>
      </c>
      <c r="X25" s="119">
        <f t="shared" si="45"/>
        <v>4902</v>
      </c>
      <c r="Y25" s="40">
        <f t="shared" si="45"/>
        <v>4187.1091557632008</v>
      </c>
      <c r="Z25" s="40">
        <f t="shared" si="45"/>
        <v>4941.7677288108662</v>
      </c>
      <c r="AA25" s="40">
        <f t="shared" si="45"/>
        <v>7115.4786533590577</v>
      </c>
      <c r="AB25" s="115">
        <f t="shared" si="45"/>
        <v>21146.355537933123</v>
      </c>
      <c r="AC25" s="40">
        <f t="shared" si="45"/>
        <v>5566.7404334302055</v>
      </c>
      <c r="AD25" s="40">
        <f t="shared" si="45"/>
        <v>6417.5644292576872</v>
      </c>
      <c r="AE25" s="40">
        <f t="shared" si="45"/>
        <v>7212.748672131127</v>
      </c>
      <c r="AF25" s="40">
        <f t="shared" si="45"/>
        <v>9404.4603215821007</v>
      </c>
      <c r="AG25" s="115">
        <f t="shared" si="45"/>
        <v>28601.513856401107</v>
      </c>
    </row>
    <row r="26" spans="1:33" ht="17.25" x14ac:dyDescent="0.4">
      <c r="A26" s="130"/>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20">
        <v>0</v>
      </c>
      <c r="T26" s="120">
        <v>0</v>
      </c>
      <c r="U26" s="120">
        <v>0</v>
      </c>
      <c r="V26" s="120">
        <f>0-U26-T26-S26</f>
        <v>0</v>
      </c>
      <c r="W26" s="35">
        <f>SUM(S26:V26)</f>
        <v>0</v>
      </c>
      <c r="X26" s="120">
        <v>0</v>
      </c>
      <c r="Y26" s="120">
        <v>0</v>
      </c>
      <c r="Z26" s="120">
        <v>0</v>
      </c>
      <c r="AA26" s="120">
        <v>0</v>
      </c>
      <c r="AB26" s="114">
        <f>SUM(X26:AA26)</f>
        <v>0</v>
      </c>
      <c r="AC26" s="120">
        <v>0</v>
      </c>
      <c r="AD26" s="120">
        <v>0</v>
      </c>
      <c r="AE26" s="120">
        <v>0</v>
      </c>
      <c r="AF26" s="120">
        <v>0</v>
      </c>
      <c r="AG26" s="114">
        <f>SUM(AC26:AF26)</f>
        <v>0</v>
      </c>
    </row>
    <row r="27" spans="1:33" s="21" customFormat="1" x14ac:dyDescent="0.25">
      <c r="A27" s="148"/>
      <c r="B27" s="78" t="s">
        <v>73</v>
      </c>
      <c r="C27" s="74"/>
      <c r="D27" s="40">
        <f>+D25-D26</f>
        <v>1505</v>
      </c>
      <c r="E27" s="40">
        <f t="shared" ref="E27:G27" si="46">+E25-E26</f>
        <v>2048</v>
      </c>
      <c r="F27" s="40">
        <f t="shared" si="46"/>
        <v>2373</v>
      </c>
      <c r="G27" s="40">
        <f t="shared" si="46"/>
        <v>4266</v>
      </c>
      <c r="H27" s="41">
        <f>+H25-H26</f>
        <v>10192</v>
      </c>
      <c r="I27" s="40">
        <f t="shared" ref="I27:M27" si="47">+I25-I26</f>
        <v>3059</v>
      </c>
      <c r="J27" s="40">
        <f t="shared" si="47"/>
        <v>3890</v>
      </c>
      <c r="K27" s="40">
        <f t="shared" si="47"/>
        <v>4704</v>
      </c>
      <c r="L27" s="40">
        <f t="shared" si="47"/>
        <v>4266</v>
      </c>
      <c r="M27" s="41">
        <f t="shared" si="47"/>
        <v>15919</v>
      </c>
      <c r="N27" s="40">
        <f t="shared" ref="N27" si="48">+N25-N26</f>
        <v>4987</v>
      </c>
      <c r="O27" s="40">
        <f t="shared" ref="O27" si="49">+O25-O26</f>
        <v>5106</v>
      </c>
      <c r="P27" s="40">
        <f t="shared" ref="P27" si="50">+P25-P26</f>
        <v>5137</v>
      </c>
      <c r="Q27" s="40">
        <f t="shared" ref="Q27" si="51">+Q25-Q26</f>
        <v>6882</v>
      </c>
      <c r="R27" s="41">
        <f t="shared" ref="R27" si="52">+R25-R26</f>
        <v>22112</v>
      </c>
      <c r="S27" s="119">
        <f t="shared" ref="S27" si="53">+S25-S26</f>
        <v>2429</v>
      </c>
      <c r="T27" s="119">
        <f t="shared" ref="T27" si="54">+T25-T26</f>
        <v>2616</v>
      </c>
      <c r="U27" s="40">
        <f t="shared" ref="U27" si="55">+U25-U26</f>
        <v>6091</v>
      </c>
      <c r="V27" s="40">
        <f t="shared" ref="V27" si="56">+V25-V26</f>
        <v>7349</v>
      </c>
      <c r="W27" s="41">
        <f t="shared" ref="W27" si="57">+W25-W26</f>
        <v>18485</v>
      </c>
      <c r="X27" s="40">
        <f t="shared" ref="X27" si="58">+X25-X26</f>
        <v>4902</v>
      </c>
      <c r="Y27" s="40">
        <f t="shared" ref="Y27" si="59">+Y25-Y26</f>
        <v>4187.1091557632008</v>
      </c>
      <c r="Z27" s="40">
        <f t="shared" ref="Z27" si="60">+Z25-Z26</f>
        <v>4941.7677288108662</v>
      </c>
      <c r="AA27" s="40">
        <f t="shared" ref="AA27" si="61">+AA25-AA26</f>
        <v>7115.4786533590577</v>
      </c>
      <c r="AB27" s="115">
        <f t="shared" ref="AB27" si="62">+AB25-AB26</f>
        <v>21146.355537933123</v>
      </c>
      <c r="AC27" s="40">
        <f t="shared" ref="AC27" si="63">+AC25-AC26</f>
        <v>5566.7404334302055</v>
      </c>
      <c r="AD27" s="40">
        <f t="shared" ref="AD27" si="64">+AD25-AD26</f>
        <v>6417.5644292576872</v>
      </c>
      <c r="AE27" s="40">
        <f t="shared" ref="AE27" si="65">+AE25-AE26</f>
        <v>7212.748672131127</v>
      </c>
      <c r="AF27" s="40">
        <f t="shared" ref="AF27" si="66">+AF25-AF26</f>
        <v>9404.4603215821007</v>
      </c>
      <c r="AG27" s="115">
        <f t="shared" ref="AG27" si="67">+AG25-AG26</f>
        <v>28601.513856401107</v>
      </c>
    </row>
    <row r="28" spans="1:33" x14ac:dyDescent="0.25">
      <c r="A28" s="123"/>
      <c r="B28" s="194" t="s">
        <v>0</v>
      </c>
      <c r="C28" s="195"/>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18">
        <v>2856</v>
      </c>
      <c r="T28" s="118">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13">
        <f>(X28*X25/AB25)+(Y28*Y25/AB25)+(Z28*Z25/AB25)+(AA28*AA25/AB25)</f>
        <v>2850.559742529756</v>
      </c>
      <c r="AC28" s="29">
        <f>AA28*(1+AC78)-AC82</f>
        <v>2849.3922774117996</v>
      </c>
      <c r="AD28" s="29">
        <f>AC28*(1+AD78)-AD82</f>
        <v>2848.9882114477409</v>
      </c>
      <c r="AE28" s="29">
        <f>AD28*(1+AE78)-AE82</f>
        <v>2848.5294457688351</v>
      </c>
      <c r="AF28" s="29">
        <f>AE28*(1+AF78)-AF82</f>
        <v>2848.0301025614267</v>
      </c>
      <c r="AG28" s="113">
        <f>(AC28*AC25/AG25)+(AD28*AD25/AG25)+(AE28*AE25/AG25)+(AF28*AF25/AG25)</f>
        <v>2848.6361276994098</v>
      </c>
    </row>
    <row r="29" spans="1:33" ht="15.75" customHeight="1" x14ac:dyDescent="0.25">
      <c r="A29" s="123"/>
      <c r="B29" s="194" t="s">
        <v>1</v>
      </c>
      <c r="C29" s="195"/>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18">
        <v>2869</v>
      </c>
      <c r="T29" s="118">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13">
        <f>(X29*X25/AB25)+(Y29*Y25/AB25)+(Z29*Z25/AB25)+(AA29*AA25/AB25)</f>
        <v>2867.8366635948182</v>
      </c>
      <c r="AC29" s="29">
        <f>AA29*(1+AC79)-AC82</f>
        <v>2864.0028809299311</v>
      </c>
      <c r="AD29" s="29">
        <f>AC29*(1+AD79)-AD82</f>
        <v>2862.9974369475908</v>
      </c>
      <c r="AE29" s="29">
        <f>AD29*(1+AE79)-AE82</f>
        <v>2861.5372180930599</v>
      </c>
      <c r="AF29" s="29">
        <f>AE29*(1+AF79)-AF82</f>
        <v>2859.9107556607837</v>
      </c>
      <c r="AG29" s="113">
        <f>(AC29*AC25/AG25)+(AD29*AD25/AG25)+(AE29*AE25/AG25)+(AF29*AF25/AG25)</f>
        <v>2861.8099572291526</v>
      </c>
    </row>
    <row r="30" spans="1:33" ht="15.75" customHeight="1" x14ac:dyDescent="0.25">
      <c r="A30" s="123"/>
      <c r="B30" s="206" t="s">
        <v>9</v>
      </c>
      <c r="C30" s="207"/>
      <c r="D30" s="43">
        <f t="shared" ref="D30:AG30" si="68">D25/D28</f>
        <v>0.53112908899050304</v>
      </c>
      <c r="E30" s="43">
        <f t="shared" si="68"/>
        <v>0.71953781512605042</v>
      </c>
      <c r="F30" s="43">
        <f t="shared" si="68"/>
        <v>0.82863113897596652</v>
      </c>
      <c r="G30" s="43">
        <f t="shared" si="68"/>
        <v>1.4826509368494101</v>
      </c>
      <c r="H30" s="44">
        <f t="shared" si="68"/>
        <v>3.5680112997384774</v>
      </c>
      <c r="I30" s="43">
        <f t="shared" si="68"/>
        <v>1.0598408855067452</v>
      </c>
      <c r="J30" s="43">
        <f t="shared" si="68"/>
        <v>1.3427586206896551</v>
      </c>
      <c r="K30" s="43">
        <f t="shared" si="68"/>
        <v>1.6208677685950412</v>
      </c>
      <c r="L30" s="43">
        <f t="shared" si="68"/>
        <v>1.4681802545579636</v>
      </c>
      <c r="M30" s="44">
        <f t="shared" si="68"/>
        <v>5.4922440537745603</v>
      </c>
      <c r="N30" s="43">
        <f t="shared" si="68"/>
        <v>1.7164487267721955</v>
      </c>
      <c r="O30" s="43">
        <f t="shared" si="68"/>
        <v>1.7637305699481864</v>
      </c>
      <c r="P30" s="43">
        <f t="shared" si="68"/>
        <v>1.7805892547660311</v>
      </c>
      <c r="Q30" s="43">
        <f t="shared" si="68"/>
        <v>2.3962395543175488</v>
      </c>
      <c r="R30" s="44">
        <f t="shared" si="68"/>
        <v>7.6515570934256054</v>
      </c>
      <c r="S30" s="121">
        <f t="shared" si="68"/>
        <v>0.85049019607843135</v>
      </c>
      <c r="T30" s="121">
        <f t="shared" si="68"/>
        <v>0.91628721541155866</v>
      </c>
      <c r="U30" s="43">
        <f t="shared" si="68"/>
        <v>2.1341976173791171</v>
      </c>
      <c r="V30" s="43">
        <f t="shared" si="68"/>
        <v>2.5749824807288015</v>
      </c>
      <c r="W30" s="44">
        <f t="shared" si="68"/>
        <v>6.4759571094228789</v>
      </c>
      <c r="X30" s="43">
        <f t="shared" si="68"/>
        <v>1.7193967029112591</v>
      </c>
      <c r="Y30" s="43">
        <f t="shared" si="68"/>
        <v>1.4687411979837286</v>
      </c>
      <c r="Z30" s="43">
        <f t="shared" si="68"/>
        <v>1.733638221922472</v>
      </c>
      <c r="AA30" s="43">
        <f t="shared" si="68"/>
        <v>2.4965408946736307</v>
      </c>
      <c r="AB30" s="117">
        <f t="shared" si="68"/>
        <v>7.4183169089333276</v>
      </c>
      <c r="AC30" s="43">
        <f t="shared" si="68"/>
        <v>1.9536588477338985</v>
      </c>
      <c r="AD30" s="43">
        <f t="shared" si="68"/>
        <v>2.2525766879170552</v>
      </c>
      <c r="AE30" s="43">
        <f t="shared" si="68"/>
        <v>2.5320955283944286</v>
      </c>
      <c r="AF30" s="43">
        <f t="shared" si="68"/>
        <v>3.302093019706509</v>
      </c>
      <c r="AG30" s="117">
        <f t="shared" si="68"/>
        <v>10.040423758684829</v>
      </c>
    </row>
    <row r="31" spans="1:33" x14ac:dyDescent="0.25">
      <c r="A31" s="123"/>
      <c r="B31" s="204" t="s">
        <v>10</v>
      </c>
      <c r="C31" s="205"/>
      <c r="D31" s="107">
        <f t="shared" ref="D31:AG31" si="69">D25/D29</f>
        <v>0.52285318559556782</v>
      </c>
      <c r="E31" s="107">
        <f t="shared" si="69"/>
        <v>0.7076446280991735</v>
      </c>
      <c r="F31" s="107">
        <f t="shared" si="69"/>
        <v>0.81612349914236704</v>
      </c>
      <c r="G31" s="107">
        <f t="shared" si="69"/>
        <v>1.4543907420013615</v>
      </c>
      <c r="H31" s="108">
        <f t="shared" si="69"/>
        <v>3.4929914529914532</v>
      </c>
      <c r="I31" s="107">
        <f t="shared" si="69"/>
        <v>1.0407608695652173</v>
      </c>
      <c r="J31" s="107">
        <f t="shared" si="69"/>
        <v>1.3195526940020332</v>
      </c>
      <c r="K31" s="107">
        <f t="shared" si="69"/>
        <v>1.5923545331529094</v>
      </c>
      <c r="L31" s="107">
        <f t="shared" si="69"/>
        <v>1.4448205822613405</v>
      </c>
      <c r="M31" s="108">
        <f t="shared" si="69"/>
        <v>5.3900541271989173</v>
      </c>
      <c r="N31" s="107">
        <f t="shared" si="69"/>
        <v>1.6937181663837011</v>
      </c>
      <c r="O31" s="107">
        <f t="shared" si="69"/>
        <v>1.7426621160409557</v>
      </c>
      <c r="P31" s="107">
        <f t="shared" si="69"/>
        <v>1.7634740817027119</v>
      </c>
      <c r="Q31" s="107">
        <f t="shared" si="69"/>
        <v>2.3846153846153846</v>
      </c>
      <c r="R31" s="108">
        <f t="shared" si="69"/>
        <v>7.5703526189661074</v>
      </c>
      <c r="S31" s="122">
        <f t="shared" si="69"/>
        <v>0.84663645869640991</v>
      </c>
      <c r="T31" s="122">
        <f t="shared" si="69"/>
        <v>0.90991304347826085</v>
      </c>
      <c r="U31" s="122">
        <f t="shared" si="69"/>
        <v>2.1193458594293668</v>
      </c>
      <c r="V31" s="122">
        <f t="shared" si="69"/>
        <v>2.551736111111111</v>
      </c>
      <c r="W31" s="143">
        <f t="shared" si="69"/>
        <v>6.4276203994115555</v>
      </c>
      <c r="X31" s="122">
        <f t="shared" si="69"/>
        <v>1.7092050209205021</v>
      </c>
      <c r="Y31" s="122">
        <f t="shared" si="69"/>
        <v>1.4595248478672225</v>
      </c>
      <c r="Z31" s="122">
        <f t="shared" si="69"/>
        <v>1.7230572386458922</v>
      </c>
      <c r="AA31" s="122">
        <f t="shared" si="69"/>
        <v>2.481839470308723</v>
      </c>
      <c r="AB31" s="143">
        <f t="shared" si="69"/>
        <v>7.3736261923042283</v>
      </c>
      <c r="AC31" s="122">
        <f t="shared" si="69"/>
        <v>1.9436923302335176</v>
      </c>
      <c r="AD31" s="122">
        <f t="shared" si="69"/>
        <v>2.2415543745997302</v>
      </c>
      <c r="AE31" s="122">
        <f t="shared" si="69"/>
        <v>2.5205853086676719</v>
      </c>
      <c r="AF31" s="122">
        <f t="shared" si="69"/>
        <v>3.2883754512155035</v>
      </c>
      <c r="AG31" s="143">
        <f t="shared" si="69"/>
        <v>9.9942044663558036</v>
      </c>
    </row>
    <row r="32" spans="1:33" x14ac:dyDescent="0.25">
      <c r="B32" s="46"/>
      <c r="C32" s="112" t="s">
        <v>15</v>
      </c>
      <c r="D32" s="50"/>
      <c r="E32" s="50"/>
      <c r="F32" s="50"/>
      <c r="G32" s="50"/>
      <c r="H32" s="16"/>
      <c r="I32" s="50"/>
      <c r="J32" s="50"/>
      <c r="K32" s="50"/>
      <c r="L32" s="50"/>
      <c r="M32" s="16"/>
      <c r="N32" s="50"/>
      <c r="O32" s="50"/>
      <c r="P32" s="50"/>
      <c r="Q32" s="50"/>
      <c r="R32" s="16"/>
      <c r="S32" s="83"/>
      <c r="T32" s="141"/>
      <c r="U32" s="135"/>
      <c r="V32" s="135"/>
      <c r="W32" s="135"/>
      <c r="X32" s="135"/>
      <c r="Y32" s="141"/>
      <c r="Z32" s="188"/>
      <c r="AA32" s="141"/>
      <c r="AB32" s="138"/>
      <c r="AC32" s="188"/>
      <c r="AD32" s="188"/>
      <c r="AE32" s="188"/>
      <c r="AF32" s="141"/>
      <c r="AG32" s="138"/>
    </row>
    <row r="33" spans="1:33" ht="15.75" x14ac:dyDescent="0.25">
      <c r="A33" s="123"/>
      <c r="B33" s="189" t="s">
        <v>25</v>
      </c>
      <c r="C33" s="190"/>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7.25" x14ac:dyDescent="0.4">
      <c r="A34" s="123"/>
      <c r="B34" s="196"/>
      <c r="C34" s="197"/>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117</v>
      </c>
      <c r="T34" s="27" t="s">
        <v>123</v>
      </c>
      <c r="U34" s="27" t="s">
        <v>124</v>
      </c>
      <c r="V34" s="27" t="s">
        <v>125</v>
      </c>
      <c r="W34" s="80" t="s">
        <v>126</v>
      </c>
      <c r="X34" s="27" t="s">
        <v>127</v>
      </c>
      <c r="Y34" s="25" t="s">
        <v>104</v>
      </c>
      <c r="Z34" s="25" t="s">
        <v>105</v>
      </c>
      <c r="AA34" s="25" t="s">
        <v>106</v>
      </c>
      <c r="AB34" s="82" t="s">
        <v>107</v>
      </c>
      <c r="AC34" s="25" t="s">
        <v>108</v>
      </c>
      <c r="AD34" s="25" t="s">
        <v>109</v>
      </c>
      <c r="AE34" s="25" t="s">
        <v>110</v>
      </c>
      <c r="AF34" s="25" t="s">
        <v>111</v>
      </c>
      <c r="AG34" s="82" t="s">
        <v>112</v>
      </c>
    </row>
    <row r="35" spans="1:33" ht="15.75" x14ac:dyDescent="0.25">
      <c r="A35" s="123"/>
      <c r="B35" s="189" t="s">
        <v>122</v>
      </c>
      <c r="C35" s="190"/>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25">
      <c r="A36" s="123"/>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8385.8365799999992</v>
      </c>
      <c r="Z36" s="64">
        <f>+((Z42+Y42)/2)*Z52</f>
        <v>9129.360709999999</v>
      </c>
      <c r="AA36" s="64">
        <f>+((AA42+Z42)/2)*AA52</f>
        <v>11571.368366358032</v>
      </c>
      <c r="AB36" s="19"/>
      <c r="AC36" s="64">
        <f>+((AC42+AA42)/2)*AC52</f>
        <v>10195.745652966389</v>
      </c>
      <c r="AD36" s="64">
        <f>+((AD42+AC42)/2)*AD52</f>
        <v>10251.091417684182</v>
      </c>
      <c r="AE36" s="64">
        <f>+((AE42+AD42)/2)*AE52</f>
        <v>11584.485210483017</v>
      </c>
      <c r="AF36" s="64">
        <f>+((AF42+AE42)/2)*AF52</f>
        <v>15235.823970444202</v>
      </c>
      <c r="AG36" s="19"/>
    </row>
    <row r="37" spans="1:33" outlineLevel="1" x14ac:dyDescent="0.25">
      <c r="A37" s="123"/>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4268.3262999999997</v>
      </c>
      <c r="Z37" s="64">
        <f t="shared" ref="Z37:AA37" si="70">+((Z44+Y44)/2)*Z54</f>
        <v>4406.3258462158456</v>
      </c>
      <c r="AA37" s="64">
        <f t="shared" si="70"/>
        <v>5716.4788936399809</v>
      </c>
      <c r="AB37" s="19"/>
      <c r="AC37" s="64">
        <f>+((AC44+AA44)/2)*AC54</f>
        <v>5082.7478529250229</v>
      </c>
      <c r="AD37" s="64">
        <f>+((AD44+AC44)/2)*AD54</f>
        <v>5196.9373103637326</v>
      </c>
      <c r="AE37" s="64">
        <f t="shared" ref="AE37:AF37" si="71">+((AE44+AD44)/2)*AE54</f>
        <v>5560.3160500334916</v>
      </c>
      <c r="AF37" s="64">
        <f t="shared" si="71"/>
        <v>7487.7133564094429</v>
      </c>
      <c r="AG37" s="19"/>
    </row>
    <row r="38" spans="1:33" outlineLevel="1" x14ac:dyDescent="0.25">
      <c r="A38" s="123"/>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3253.0129519999996</v>
      </c>
      <c r="Z38" s="64">
        <f t="shared" ref="Z38:AA38" si="72">+((Z46+Y46)/2)*Z56</f>
        <v>3674.8151526238798</v>
      </c>
      <c r="AA38" s="64">
        <f t="shared" si="72"/>
        <v>4291.4138553303819</v>
      </c>
      <c r="AB38" s="19"/>
      <c r="AC38" s="64">
        <f>+((AC46+AA46)/2)*AC56</f>
        <v>4086.6289465079444</v>
      </c>
      <c r="AD38" s="64">
        <f>+((AD46+AC46)/2)*AD56</f>
        <v>4159.7014281933434</v>
      </c>
      <c r="AE38" s="64">
        <f t="shared" ref="AE38:AF38" si="73">+((AE46+AD46)/2)*AE56</f>
        <v>4880.7645882830084</v>
      </c>
      <c r="AF38" s="64">
        <f t="shared" si="73"/>
        <v>5916.6273160756909</v>
      </c>
      <c r="AG38" s="19"/>
    </row>
    <row r="39" spans="1:33" ht="17.25" outlineLevel="1" x14ac:dyDescent="0.4">
      <c r="A39" s="123"/>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1767.7551600000002</v>
      </c>
      <c r="Z39" s="99">
        <f t="shared" ref="Z39:AA39" si="74">+((Z48+Y48)/2)*Z58</f>
        <v>2010.0326400000004</v>
      </c>
      <c r="AA39" s="99">
        <f t="shared" si="74"/>
        <v>2352.0780047737085</v>
      </c>
      <c r="AB39" s="19"/>
      <c r="AC39" s="99">
        <f>+((AC48+AA48)/2)*AC58</f>
        <v>2054.5259569915734</v>
      </c>
      <c r="AD39" s="99">
        <f>+((AD48+AC48)/2)*AD58</f>
        <v>2252.3834413247828</v>
      </c>
      <c r="AE39" s="99">
        <f t="shared" ref="AE39:AF39" si="75">+((AE48+AD48)/2)*AE58</f>
        <v>2662.529407272697</v>
      </c>
      <c r="AF39" s="99">
        <f t="shared" si="75"/>
        <v>3227.8868193249577</v>
      </c>
      <c r="AG39" s="19"/>
    </row>
    <row r="40" spans="1:33" s="92" customFormat="1" outlineLevel="1" x14ac:dyDescent="0.25">
      <c r="A40" s="124"/>
      <c r="B40" s="90" t="s">
        <v>20</v>
      </c>
      <c r="C40" s="72"/>
      <c r="D40" s="100">
        <f>SUM(D36:D39)</f>
        <v>5382</v>
      </c>
      <c r="E40" s="100">
        <f t="shared" ref="E40:G40" si="76">SUM(E36:E39)</f>
        <v>6436</v>
      </c>
      <c r="F40" s="100">
        <f t="shared" si="76"/>
        <v>7011</v>
      </c>
      <c r="G40" s="100">
        <f t="shared" si="76"/>
        <v>8809</v>
      </c>
      <c r="H40" s="91"/>
      <c r="I40" s="100">
        <f>SUM(I36:I39)</f>
        <v>8032</v>
      </c>
      <c r="J40" s="100">
        <f t="shared" ref="J40:L40" si="77">SUM(J36:J39)</f>
        <v>9321</v>
      </c>
      <c r="K40" s="100">
        <f t="shared" si="77"/>
        <v>10328</v>
      </c>
      <c r="L40" s="100">
        <f t="shared" si="77"/>
        <v>12972</v>
      </c>
      <c r="M40" s="91"/>
      <c r="N40" s="100">
        <f>SUM(N36:N39)</f>
        <v>11966</v>
      </c>
      <c r="O40" s="100">
        <f t="shared" ref="O40" si="78">SUM(O36:O39)</f>
        <v>13231</v>
      </c>
      <c r="P40" s="100">
        <f t="shared" ref="P40" si="79">SUM(P36:P39)</f>
        <v>13727</v>
      </c>
      <c r="Q40" s="100">
        <f t="shared" ref="Q40" si="80">SUM(Q36:Q39)</f>
        <v>16914</v>
      </c>
      <c r="R40" s="91"/>
      <c r="S40" s="100">
        <f>SUM(S36:S39)</f>
        <v>15077</v>
      </c>
      <c r="T40" s="100">
        <f>SUM(T36:T39)</f>
        <v>16886</v>
      </c>
      <c r="U40" s="100">
        <f t="shared" ref="U40" si="81">SUM(U36:U39)</f>
        <v>17652</v>
      </c>
      <c r="V40" s="100">
        <f t="shared" ref="V40" si="82">SUM(V36:V39)</f>
        <v>21082</v>
      </c>
      <c r="W40" s="91"/>
      <c r="X40" s="100">
        <f>SUM(X36:X39)</f>
        <v>17737</v>
      </c>
      <c r="Y40" s="100">
        <f>SUM(Y36:Y39)</f>
        <v>17674.930991999998</v>
      </c>
      <c r="Z40" s="100">
        <f t="shared" ref="Z40:AA40" si="83">SUM(Z36:Z39)</f>
        <v>19220.534348839727</v>
      </c>
      <c r="AA40" s="100">
        <f t="shared" si="83"/>
        <v>23931.339120102104</v>
      </c>
      <c r="AB40" s="91"/>
      <c r="AC40" s="100">
        <f>SUM(AC36:AC39)</f>
        <v>21419.648409390931</v>
      </c>
      <c r="AD40" s="100">
        <f>SUM(AD36:AD39)</f>
        <v>21860.11359756604</v>
      </c>
      <c r="AE40" s="100">
        <f t="shared" ref="AE40:AF40" si="84">SUM(AE36:AE39)</f>
        <v>24688.095256072214</v>
      </c>
      <c r="AF40" s="100">
        <f t="shared" si="84"/>
        <v>31868.051462254294</v>
      </c>
      <c r="AG40" s="91"/>
    </row>
    <row r="41" spans="1:33" ht="18" x14ac:dyDescent="0.4">
      <c r="A41" s="123"/>
      <c r="B41" s="192" t="s">
        <v>86</v>
      </c>
      <c r="C41" s="193"/>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117</v>
      </c>
      <c r="T41" s="27" t="s">
        <v>123</v>
      </c>
      <c r="U41" s="27" t="s">
        <v>124</v>
      </c>
      <c r="V41" s="27" t="s">
        <v>125</v>
      </c>
      <c r="W41" s="80" t="s">
        <v>126</v>
      </c>
      <c r="X41" s="27" t="s">
        <v>127</v>
      </c>
      <c r="Y41" s="25" t="s">
        <v>104</v>
      </c>
      <c r="Z41" s="25" t="s">
        <v>105</v>
      </c>
      <c r="AA41" s="25" t="s">
        <v>106</v>
      </c>
      <c r="AB41" s="82" t="s">
        <v>107</v>
      </c>
      <c r="AC41" s="25" t="s">
        <v>108</v>
      </c>
      <c r="AD41" s="25" t="s">
        <v>109</v>
      </c>
      <c r="AE41" s="25" t="s">
        <v>110</v>
      </c>
      <c r="AF41" s="25" t="s">
        <v>111</v>
      </c>
      <c r="AG41" s="82" t="s">
        <v>112</v>
      </c>
    </row>
    <row r="42" spans="1:33" ht="15.75" outlineLevel="1" x14ac:dyDescent="0.25">
      <c r="A42" s="123"/>
      <c r="B42" s="70" t="s">
        <v>113</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5">T42*(1+Y43)</f>
        <v>256.2</v>
      </c>
      <c r="Z42" s="29">
        <f>U42*(1+Z43)</f>
        <v>256.88</v>
      </c>
      <c r="AA42" s="29">
        <f t="shared" ref="AA42" si="86">V42*(1+AA43)</f>
        <v>255.1886304118627</v>
      </c>
      <c r="AB42" s="19"/>
      <c r="AC42" s="29">
        <f>X42*(1+AC43)</f>
        <v>263.12877127759072</v>
      </c>
      <c r="AD42" s="29">
        <f t="shared" ref="AD42" si="87">Y42*(1+AD43)</f>
        <v>266.38530030417814</v>
      </c>
      <c r="AE42" s="29">
        <f t="shared" ref="AE42" si="88">Z42*(1+AE43)</f>
        <v>266.43441736015461</v>
      </c>
      <c r="AF42" s="29">
        <f t="shared" ref="AF42" si="89">AA42*(1+AF43)</f>
        <v>264.50112962102446</v>
      </c>
      <c r="AG42" s="19"/>
    </row>
    <row r="43" spans="1:33" ht="15.75" outlineLevel="1" x14ac:dyDescent="0.25">
      <c r="A43" s="123"/>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25">
        <f>+S42/N42-1</f>
        <v>8.2987551867219622E-3</v>
      </c>
      <c r="T43" s="55">
        <f>+T42/O42-1</f>
        <v>1.2448132780082943E-2</v>
      </c>
      <c r="U43" s="55">
        <f>+U42/P42-1</f>
        <v>2.0661157024793431E-2</v>
      </c>
      <c r="V43" s="55">
        <f>+V42/Q42-1</f>
        <v>2.4793388429751984E-2</v>
      </c>
      <c r="W43" s="19"/>
      <c r="X43" s="125">
        <f>+X42/S42-1</f>
        <v>4.1152263374485631E-2</v>
      </c>
      <c r="Y43" s="59">
        <v>0.05</v>
      </c>
      <c r="Z43" s="59">
        <v>0.04</v>
      </c>
      <c r="AA43" s="59">
        <f>AVERAGE(V43,X43,Y43,Z43)-1%</f>
        <v>2.8986412951059401E-2</v>
      </c>
      <c r="AB43" s="19"/>
      <c r="AC43" s="59">
        <f>AVERAGE(X43,Y43,Z43,AA43)</f>
        <v>4.0034669081386254E-2</v>
      </c>
      <c r="AD43" s="59">
        <f>AVERAGE(Y43,Z43,AA43,AC43)</f>
        <v>3.9755270508111409E-2</v>
      </c>
      <c r="AE43" s="59">
        <f>AVERAGE(Z43,AA43,AC43,AD43)</f>
        <v>3.7194088135139261E-2</v>
      </c>
      <c r="AF43" s="59">
        <f>AVERAGE(AA43,AC43,AD43,AE43)</f>
        <v>3.6492610168924078E-2</v>
      </c>
      <c r="AG43" s="19"/>
    </row>
    <row r="44" spans="1:33" outlineLevel="1" x14ac:dyDescent="0.25">
      <c r="A44" s="123"/>
      <c r="B44" s="56" t="s">
        <v>115</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18">
        <v>384</v>
      </c>
      <c r="T44" s="29">
        <v>385</v>
      </c>
      <c r="U44" s="29">
        <v>387</v>
      </c>
      <c r="V44" s="29">
        <v>394</v>
      </c>
      <c r="W44" s="19"/>
      <c r="X44" s="29">
        <v>406</v>
      </c>
      <c r="Y44" s="29">
        <f t="shared" ref="Y44" si="90">T44*(1+Y45)</f>
        <v>408.1</v>
      </c>
      <c r="Z44" s="29">
        <f t="shared" ref="Z44" si="91">U44*(1+Z45)</f>
        <v>400.8751498523622</v>
      </c>
      <c r="AA44" s="29">
        <f t="shared" ref="AA44" si="92">V44*(1+AA45)</f>
        <v>408.50565194389765</v>
      </c>
      <c r="AB44" s="19"/>
      <c r="AC44" s="29">
        <f>X44*(1+AC45)</f>
        <v>425.28105596907812</v>
      </c>
      <c r="AD44" s="29">
        <f t="shared" ref="AD44" si="93">Y44*(1+AD45)</f>
        <v>426.48079966948103</v>
      </c>
      <c r="AE44" s="29">
        <f t="shared" ref="AE44" si="94">Z44*(1+AE45)</f>
        <v>417.43126366653911</v>
      </c>
      <c r="AF44" s="29">
        <f t="shared" ref="AF44" si="95">AA44*(1+AF45)</f>
        <v>425.93316963364236</v>
      </c>
      <c r="AG44" s="19"/>
    </row>
    <row r="45" spans="1:33" outlineLevel="1" x14ac:dyDescent="0.25">
      <c r="A45" s="123"/>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25">
        <f>+S44/N44-1</f>
        <v>1.8567639257294433E-2</v>
      </c>
      <c r="T45" s="55">
        <f>+T44/O44-1</f>
        <v>2.3936170212766061E-2</v>
      </c>
      <c r="U45" s="55">
        <f>+U44/P44-1</f>
        <v>3.2000000000000028E-2</v>
      </c>
      <c r="V45" s="55">
        <f>+V44/Q44-1</f>
        <v>3.4120734908136496E-2</v>
      </c>
      <c r="W45" s="19"/>
      <c r="X45" s="125">
        <f>+X44/S44-1</f>
        <v>5.7291666666666741E-2</v>
      </c>
      <c r="Y45" s="59">
        <v>0.06</v>
      </c>
      <c r="Z45" s="59">
        <f>AVERAGE(U45,V45,X45,Y45)-1%</f>
        <v>3.5853100393700814E-2</v>
      </c>
      <c r="AA45" s="59">
        <f>AVERAGE(V45,X45,Y45,Z45)-1%</f>
        <v>3.6816375492126012E-2</v>
      </c>
      <c r="AB45" s="19"/>
      <c r="AC45" s="59">
        <f>AVERAGE(X45,Y45,Z45,AA45)</f>
        <v>4.7490285638123395E-2</v>
      </c>
      <c r="AD45" s="59">
        <f>AVERAGE(Y45,Z45,AA45,AC45)</f>
        <v>4.5039940380987561E-2</v>
      </c>
      <c r="AE45" s="59">
        <f>AVERAGE(Z45,AA45,AC45,AD45)</f>
        <v>4.1299925476234442E-2</v>
      </c>
      <c r="AF45" s="59">
        <f>AVERAGE(AA45,AC45,AD45,AE45)</f>
        <v>4.2661631746867851E-2</v>
      </c>
      <c r="AG45" s="19"/>
    </row>
    <row r="46" spans="1:33" outlineLevel="1" x14ac:dyDescent="0.25">
      <c r="A46" s="123"/>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18">
        <v>981</v>
      </c>
      <c r="T46" s="29">
        <v>1003</v>
      </c>
      <c r="U46" s="29">
        <v>1013</v>
      </c>
      <c r="V46" s="29">
        <v>1038.4000000000001</v>
      </c>
      <c r="W46" s="24"/>
      <c r="X46" s="29">
        <v>1093</v>
      </c>
      <c r="Y46" s="29">
        <f t="shared" ref="Y46" si="96">T46*(1+Y47)</f>
        <v>1113.3300000000002</v>
      </c>
      <c r="Z46" s="29">
        <f t="shared" ref="Z46" si="97">U46*(1+Z47)</f>
        <v>1110.595897254829</v>
      </c>
      <c r="AA46" s="29">
        <f t="shared" ref="AA46" si="98">V46*(1+AA47)</f>
        <v>1136.2764582154095</v>
      </c>
      <c r="AB46" s="22"/>
      <c r="AC46" s="29">
        <f>X46*(1+AC47)</f>
        <v>1206.3358034534615</v>
      </c>
      <c r="AD46" s="29">
        <f t="shared" ref="AD46" si="99">Y46*(1+AD47)</f>
        <v>1225.8578346121185</v>
      </c>
      <c r="AE46" s="29">
        <f t="shared" ref="AE46" si="100">Z46*(1+AE47)</f>
        <v>1220.3688726763039</v>
      </c>
      <c r="AF46" s="29">
        <f t="shared" ref="AF46" si="101">AA46*(1+AF47)</f>
        <v>1249.2973656687088</v>
      </c>
      <c r="AG46" s="22"/>
    </row>
    <row r="47" spans="1:33" outlineLevel="1" x14ac:dyDescent="0.25">
      <c r="A47" s="123"/>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25">
        <f>+S46/N46-1</f>
        <v>0.12371134020618557</v>
      </c>
      <c r="T47" s="55">
        <f>+T46/O46-1</f>
        <v>0.12192393736017904</v>
      </c>
      <c r="U47" s="55">
        <f>+U46/P46-1</f>
        <v>0.10468920392584513</v>
      </c>
      <c r="V47" s="55">
        <f>+V46/Q46-1</f>
        <v>9.6515311510031676E-2</v>
      </c>
      <c r="W47" s="24"/>
      <c r="X47" s="125">
        <f>+X46/S46-1</f>
        <v>0.11416921508664624</v>
      </c>
      <c r="Y47" s="59">
        <v>0.11</v>
      </c>
      <c r="Z47" s="59">
        <f>AVERAGE(U47,V47,X47,Y47)-1%</f>
        <v>9.6343432630630763E-2</v>
      </c>
      <c r="AA47" s="59">
        <f>AVERAGE(V47,X47,Y47,Z47)-1%</f>
        <v>9.4256989806827174E-2</v>
      </c>
      <c r="AB47" s="19"/>
      <c r="AC47" s="59">
        <f>AVERAGE(X47,Y47,Z47,AA47)</f>
        <v>0.10369240938102604</v>
      </c>
      <c r="AD47" s="59">
        <f>AVERAGE(Y47,Z47,AA47,AC47)</f>
        <v>0.10107320795462099</v>
      </c>
      <c r="AE47" s="59">
        <f>AVERAGE(Z47,AA47,AC47,AD47)</f>
        <v>9.8841509943276243E-2</v>
      </c>
      <c r="AF47" s="59">
        <f>AVERAGE(AA47,AC47,AD47,AE47)</f>
        <v>9.9466029271437606E-2</v>
      </c>
      <c r="AG47" s="19"/>
    </row>
    <row r="48" spans="1:33" outlineLevel="1" x14ac:dyDescent="0.25">
      <c r="A48" s="123"/>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18">
        <v>768</v>
      </c>
      <c r="T48" s="29">
        <v>782</v>
      </c>
      <c r="U48" s="29">
        <v>802</v>
      </c>
      <c r="V48" s="29">
        <v>817.4</v>
      </c>
      <c r="W48" s="19"/>
      <c r="X48" s="29">
        <v>851</v>
      </c>
      <c r="Y48" s="29">
        <f t="shared" ref="Y48" si="102">T48*(1+Y49)</f>
        <v>860.2</v>
      </c>
      <c r="Z48" s="29">
        <f>U48*(1+Z49)</f>
        <v>882.2</v>
      </c>
      <c r="AA48" s="29">
        <f t="shared" ref="AA48" si="103">V48*(1+AA49)</f>
        <v>890.54495385416669</v>
      </c>
      <c r="AB48" s="19"/>
      <c r="AC48" s="29">
        <f>X48*(1+AC49)</f>
        <v>935.58042460937497</v>
      </c>
      <c r="AD48" s="29">
        <f t="shared" ref="AD48" si="104">Y48*(1+AD49)</f>
        <v>943.82742874348969</v>
      </c>
      <c r="AE48" s="29">
        <f t="shared" ref="AE48" si="105">Z48*(1+AE49)</f>
        <v>967.35279707845064</v>
      </c>
      <c r="AF48" s="29">
        <f t="shared" ref="AF48" si="106">AA48*(1+AF49)</f>
        <v>975.72917877337284</v>
      </c>
      <c r="AG48" s="19"/>
    </row>
    <row r="49" spans="1:33" outlineLevel="1" x14ac:dyDescent="0.25">
      <c r="A49" s="123"/>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25">
        <f>+S48/N48-1</f>
        <v>8.9361702127659592E-2</v>
      </c>
      <c r="T49" s="55">
        <f>+T48/O48-1</f>
        <v>8.1604426002766184E-2</v>
      </c>
      <c r="U49" s="55">
        <f>+U48/P48-1</f>
        <v>8.9673913043478271E-2</v>
      </c>
      <c r="V49" s="55">
        <f>+V48/Q48-1</f>
        <v>8.9866666666666539E-2</v>
      </c>
      <c r="W49" s="19"/>
      <c r="X49" s="125">
        <f>+X48/S48-1</f>
        <v>0.10807291666666674</v>
      </c>
      <c r="Y49" s="59">
        <v>0.1</v>
      </c>
      <c r="Z49" s="59">
        <v>0.1</v>
      </c>
      <c r="AA49" s="59">
        <f>AVERAGE(V49,X49,Y49,Z49)-1%</f>
        <v>8.9484895833333314E-2</v>
      </c>
      <c r="AB49" s="19"/>
      <c r="AC49" s="59">
        <f>AVERAGE(X49,Y49,Z49,AA49)</f>
        <v>9.9389453125000013E-2</v>
      </c>
      <c r="AD49" s="59">
        <f>AVERAGE(Y49,Z49,AA49,AC49)</f>
        <v>9.7218587239583334E-2</v>
      </c>
      <c r="AE49" s="59">
        <f>AVERAGE(Z49,AA49,AC49,AD49)</f>
        <v>9.652323404947917E-2</v>
      </c>
      <c r="AF49" s="59">
        <f>AVERAGE(AA49,AC49,AD49,AE49)</f>
        <v>9.5654042561848951E-2</v>
      </c>
      <c r="AG49" s="19"/>
    </row>
    <row r="50" spans="1:33" s="21" customFormat="1" outlineLevel="1" x14ac:dyDescent="0.25">
      <c r="A50" s="126"/>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2637.83</v>
      </c>
      <c r="Z50" s="40">
        <f t="shared" si="111"/>
        <v>2650.5510471071912</v>
      </c>
      <c r="AA50" s="40">
        <f t="shared" si="111"/>
        <v>2690.5156944253367</v>
      </c>
      <c r="AB50" s="95"/>
      <c r="AC50" s="40">
        <f>+AC42+AC44+AC46+AC48</f>
        <v>2830.3260553095051</v>
      </c>
      <c r="AD50" s="40">
        <f t="shared" ref="AD50:AF50" si="112">+AD42+AD44+AD46+AD48</f>
        <v>2862.5513633292676</v>
      </c>
      <c r="AE50" s="40">
        <f t="shared" si="112"/>
        <v>2871.5873507814481</v>
      </c>
      <c r="AF50" s="40">
        <f t="shared" si="112"/>
        <v>2915.4608436967487</v>
      </c>
      <c r="AG50" s="95"/>
    </row>
    <row r="51" spans="1:33" ht="18" x14ac:dyDescent="0.4">
      <c r="A51" s="123"/>
      <c r="B51" s="189" t="s">
        <v>87</v>
      </c>
      <c r="C51" s="190"/>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117</v>
      </c>
      <c r="T51" s="27" t="s">
        <v>123</v>
      </c>
      <c r="U51" s="27" t="s">
        <v>124</v>
      </c>
      <c r="V51" s="27" t="s">
        <v>125</v>
      </c>
      <c r="W51" s="80" t="s">
        <v>126</v>
      </c>
      <c r="X51" s="27" t="s">
        <v>127</v>
      </c>
      <c r="Y51" s="25" t="s">
        <v>104</v>
      </c>
      <c r="Z51" s="25" t="s">
        <v>105</v>
      </c>
      <c r="AA51" s="25" t="s">
        <v>106</v>
      </c>
      <c r="AB51" s="82" t="s">
        <v>107</v>
      </c>
      <c r="AC51" s="25" t="s">
        <v>108</v>
      </c>
      <c r="AD51" s="25" t="s">
        <v>109</v>
      </c>
      <c r="AE51" s="25" t="s">
        <v>110</v>
      </c>
      <c r="AF51" s="25" t="s">
        <v>111</v>
      </c>
      <c r="AG51" s="82" t="s">
        <v>112</v>
      </c>
    </row>
    <row r="52" spans="1:33" ht="15.75" outlineLevel="1" x14ac:dyDescent="0.25">
      <c r="A52" s="123"/>
      <c r="B52" s="70" t="s">
        <v>114</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32.9373</v>
      </c>
      <c r="Z52" s="45">
        <f t="shared" ref="Z52" si="114">U52*(1+Z53)</f>
        <v>35.586500000000001</v>
      </c>
      <c r="AA52" s="45">
        <f t="shared" ref="AA52" si="115">V52*(1+AA53)</f>
        <v>45.194599626425259</v>
      </c>
      <c r="AB52" s="19"/>
      <c r="AC52" s="45">
        <f>X52*(1+AC53)</f>
        <v>39.3417069144636</v>
      </c>
      <c r="AD52" s="45">
        <f t="shared" ref="AD52" si="116">Y52*(1+AD53)</f>
        <v>38.718863077848098</v>
      </c>
      <c r="AE52" s="45">
        <f t="shared" ref="AE52" si="117">Z52*(1+AE53)</f>
        <v>43.483695615713096</v>
      </c>
      <c r="AF52" s="45">
        <f t="shared" ref="AF52" si="118">AA52*(1+AF53)</f>
        <v>57.392367329981361</v>
      </c>
      <c r="AG52" s="19"/>
    </row>
    <row r="53" spans="1:33" ht="15.75" outlineLevel="1" x14ac:dyDescent="0.25">
      <c r="A53" s="123"/>
      <c r="B53" s="47" t="s">
        <v>118</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25">
        <f>+S52/N52-1</f>
        <v>0.27681220856295052</v>
      </c>
      <c r="T53" s="55">
        <f t="shared" ref="T53:V53" si="123">+T52/O52-1</f>
        <v>0.28406020841374002</v>
      </c>
      <c r="U53" s="55">
        <f t="shared" si="123"/>
        <v>0.25135820354943861</v>
      </c>
      <c r="V53" s="55">
        <f t="shared" si="123"/>
        <v>0.18789443488238655</v>
      </c>
      <c r="W53" s="19"/>
      <c r="X53" s="125">
        <f>+X52/S52-1</f>
        <v>0.13479415670650718</v>
      </c>
      <c r="Y53" s="59">
        <v>-0.01</v>
      </c>
      <c r="Z53" s="59">
        <v>0.03</v>
      </c>
      <c r="AA53" s="59">
        <f>AVERAGE(V53,X53,Y53,Z53)+0.572122632217421%</f>
        <v>9.1393374219397652E-2</v>
      </c>
      <c r="AB53" s="19"/>
      <c r="AC53" s="59">
        <f>AVERAGE(X53,Y53,Z53,AA53)+8.94685331393137%</f>
        <v>0.15101541587078993</v>
      </c>
      <c r="AD53" s="59">
        <f>AVERAGE(Y53,Z53,AA53,AC53)+10.9930195170482%</f>
        <v>0.17553239269302889</v>
      </c>
      <c r="AE53" s="59">
        <f>AVERAGE(Z53,AA53,AC53,AD53)+10.9930195170482%</f>
        <v>0.22191549086628612</v>
      </c>
      <c r="AF53" s="59">
        <f>AVERAGE(AA53,AC53,AD53,AE53)+10.9930195170482%</f>
        <v>0.26989436358285768</v>
      </c>
      <c r="AG53" s="19"/>
    </row>
    <row r="54" spans="1:33" outlineLevel="1" x14ac:dyDescent="0.25">
      <c r="A54" s="123"/>
      <c r="B54" s="70" t="s">
        <v>116</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27">
        <v>9.5500000000000007</v>
      </c>
      <c r="T54" s="45">
        <v>10.7</v>
      </c>
      <c r="U54" s="45">
        <v>10.68</v>
      </c>
      <c r="V54" s="45">
        <v>13.21</v>
      </c>
      <c r="W54" s="19"/>
      <c r="X54" s="45">
        <v>10.64</v>
      </c>
      <c r="Y54" s="45">
        <f t="shared" ref="Y54" si="124">T54*(1+Y55)</f>
        <v>10.485999999999999</v>
      </c>
      <c r="Z54" s="45">
        <f t="shared" ref="Z54" si="125">U54*(1+Z55)</f>
        <v>10.893599999999999</v>
      </c>
      <c r="AA54" s="45">
        <f t="shared" ref="AA54" si="126">V54*(1+AA55)</f>
        <v>14.125560875556701</v>
      </c>
      <c r="AB54" s="19"/>
      <c r="AC54" s="45">
        <f>X54*(1+AC55)</f>
        <v>12.191961816343852</v>
      </c>
      <c r="AD54" s="45">
        <f t="shared" ref="AD54" si="127">Y54*(1+AD55)</f>
        <v>12.202794187038652</v>
      </c>
      <c r="AE54" s="45">
        <f t="shared" ref="AE54" si="128">Z54*(1+AE55)</f>
        <v>13.177477350076801</v>
      </c>
      <c r="AF54" s="45">
        <f t="shared" ref="AF54" si="129">AA54*(1+AF55)</f>
        <v>17.756768155633893</v>
      </c>
      <c r="AG54" s="19"/>
    </row>
    <row r="55" spans="1:33" outlineLevel="1" x14ac:dyDescent="0.25">
      <c r="A55" s="123"/>
      <c r="B55" s="47" t="s">
        <v>121</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25">
        <f>+S54/N54-1</f>
        <v>0.17610837438423665</v>
      </c>
      <c r="T55" s="55">
        <f t="shared" ref="T55:V55" si="136">+T54/O54-1</f>
        <v>0.22146118721461172</v>
      </c>
      <c r="U55" s="55">
        <f t="shared" si="136"/>
        <v>0.21088435374149661</v>
      </c>
      <c r="V55" s="55">
        <f t="shared" si="136"/>
        <v>0.2030965391621129</v>
      </c>
      <c r="W55" s="19"/>
      <c r="X55" s="125">
        <f>+X54/S54-1</f>
        <v>0.11413612565445019</v>
      </c>
      <c r="Y55" s="59">
        <v>-0.02</v>
      </c>
      <c r="Z55" s="59">
        <v>0.02</v>
      </c>
      <c r="AA55" s="59">
        <f>AVERAGE(V55,X55,Y55,Z55)-1%</f>
        <v>6.9308166204140778E-2</v>
      </c>
      <c r="AB55" s="19"/>
      <c r="AC55" s="59">
        <f>AVERAGE(X55,Y55,Z55,AA55)+10%</f>
        <v>0.14586107296464773</v>
      </c>
      <c r="AD55" s="59">
        <f>AVERAGE(Y55,Z55,AA55,AC55)+10.9930195170482%</f>
        <v>0.16372250496267912</v>
      </c>
      <c r="AE55" s="59">
        <f>AVERAGE(Z55,AA55,AC55,AD55)+10.9930195170482%</f>
        <v>0.20965313120334891</v>
      </c>
      <c r="AF55" s="59">
        <f>AVERAGE(AA55,AC55,AD55,AE55)+10.9930195170482%</f>
        <v>0.25706641400418617</v>
      </c>
      <c r="AG55" s="19"/>
    </row>
    <row r="56" spans="1:33" outlineLevel="1" x14ac:dyDescent="0.25">
      <c r="A56" s="123"/>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27">
        <v>2.78</v>
      </c>
      <c r="T56" s="45">
        <v>3.04</v>
      </c>
      <c r="U56" s="45">
        <v>3.24</v>
      </c>
      <c r="V56" s="45">
        <v>3.57</v>
      </c>
      <c r="W56" s="19"/>
      <c r="X56" s="45">
        <v>3.06</v>
      </c>
      <c r="Y56" s="45">
        <f t="shared" ref="Y56" si="137">T56*(1+Y57)</f>
        <v>2.9487999999999999</v>
      </c>
      <c r="Z56" s="45">
        <f t="shared" ref="Z56" si="138">U56*(1+Z57)</f>
        <v>3.3048000000000002</v>
      </c>
      <c r="AA56" s="45">
        <f t="shared" ref="AA56" si="139">V56*(1+AA57)</f>
        <v>3.8199000000000001</v>
      </c>
      <c r="AB56" s="19"/>
      <c r="AC56" s="45">
        <f>X56*(1+AC57)</f>
        <v>3.4889503597122307</v>
      </c>
      <c r="AD56" s="45">
        <f t="shared" ref="AD56" si="140">Y56*(1+AD57)</f>
        <v>3.4205347494467744</v>
      </c>
      <c r="AE56" s="45">
        <f t="shared" ref="AE56" si="141">Z56*(1+AE57)</f>
        <v>3.9904433826521393</v>
      </c>
      <c r="AF56" s="45">
        <f t="shared" ref="AF56" si="142">AA56*(1+AF57)</f>
        <v>4.7914387978519519</v>
      </c>
      <c r="AG56" s="19"/>
    </row>
    <row r="57" spans="1:33" outlineLevel="1" x14ac:dyDescent="0.25">
      <c r="A57" s="123"/>
      <c r="B57" s="47" t="s">
        <v>120</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25">
        <f>+S56/N56-1</f>
        <v>0.13008130081300817</v>
      </c>
      <c r="T57" s="55">
        <f t="shared" ref="T57:V57" si="149">+T56/O56-1</f>
        <v>0.16030534351145032</v>
      </c>
      <c r="U57" s="55">
        <f t="shared" si="149"/>
        <v>0.21348314606741581</v>
      </c>
      <c r="V57" s="55">
        <f t="shared" si="149"/>
        <v>0.20608108108108114</v>
      </c>
      <c r="W57" s="22"/>
      <c r="X57" s="125">
        <f>+X56/S56-1</f>
        <v>0.10071942446043169</v>
      </c>
      <c r="Y57" s="59">
        <v>-0.03</v>
      </c>
      <c r="Z57" s="59">
        <v>0.02</v>
      </c>
      <c r="AA57" s="59">
        <v>7.0000000000000007E-2</v>
      </c>
      <c r="AB57" s="19"/>
      <c r="AC57" s="59">
        <f>AVERAGE(X57,Y57,Z57,AA57)+10%</f>
        <v>0.14017985611510791</v>
      </c>
      <c r="AD57" s="59">
        <f>AVERAGE(Y57,Z57,AA57,AC57)+10.9930195170482%</f>
        <v>0.15997515919925898</v>
      </c>
      <c r="AE57" s="59">
        <f>AVERAGE(Z57,AA57,AC57,AD57)+10.9930195170482%</f>
        <v>0.20746894899907373</v>
      </c>
      <c r="AF57" s="59">
        <f>AVERAGE(AA57,AC57,AD57,AE57)+10.9930195170482%</f>
        <v>0.25433618624884213</v>
      </c>
      <c r="AG57" s="19"/>
    </row>
    <row r="58" spans="1:33" outlineLevel="1" x14ac:dyDescent="0.25">
      <c r="A58" s="123"/>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27">
        <v>1.89</v>
      </c>
      <c r="T58" s="45">
        <v>2.13</v>
      </c>
      <c r="U58" s="45">
        <v>2.2400000000000002</v>
      </c>
      <c r="V58" s="45">
        <v>2.48</v>
      </c>
      <c r="W58" s="19"/>
      <c r="X58" s="45">
        <v>1.99</v>
      </c>
      <c r="Y58" s="45">
        <f t="shared" ref="Y58" si="150">T58*(1+Y59)</f>
        <v>2.0661</v>
      </c>
      <c r="Z58" s="45">
        <f t="shared" ref="Z58" si="151">U58*(1+Z59)</f>
        <v>2.3072000000000004</v>
      </c>
      <c r="AA58" s="45">
        <f t="shared" ref="AA58" si="152">V58*(1+AA59)</f>
        <v>2.6536</v>
      </c>
      <c r="AB58" s="19"/>
      <c r="AC58" s="45">
        <f>X58*(1+AC59)</f>
        <v>2.2501477513227512</v>
      </c>
      <c r="AD58" s="45">
        <f t="shared" ref="AD58" si="153">Y58*(1+AD59)</f>
        <v>2.3969075550115742</v>
      </c>
      <c r="AE58" s="45">
        <f t="shared" ref="AE58" si="154">Z58*(1+AE59)</f>
        <v>2.7862672199087077</v>
      </c>
      <c r="AF58" s="45">
        <f t="shared" ref="AF58" si="155">AA58*(1+AF59)</f>
        <v>3.3224401846555049</v>
      </c>
      <c r="AG58" s="19"/>
    </row>
    <row r="59" spans="1:33" ht="17.25" outlineLevel="1" x14ac:dyDescent="0.4">
      <c r="A59" s="123"/>
      <c r="B59" s="47" t="s">
        <v>119</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25">
        <f>+S58/N58-1</f>
        <v>0.125</v>
      </c>
      <c r="T59" s="55">
        <f t="shared" ref="T59:V59" si="162">+T58/O58-1</f>
        <v>0.11518324607329844</v>
      </c>
      <c r="U59" s="55">
        <f t="shared" si="162"/>
        <v>0.23076923076923084</v>
      </c>
      <c r="V59" s="55">
        <f t="shared" si="162"/>
        <v>0.17535545023696697</v>
      </c>
      <c r="W59" s="98"/>
      <c r="X59" s="125">
        <f>+X58/S58-1</f>
        <v>5.2910052910053018E-2</v>
      </c>
      <c r="Y59" s="59">
        <v>-0.03</v>
      </c>
      <c r="Z59" s="59">
        <v>0.03</v>
      </c>
      <c r="AA59" s="59">
        <v>7.0000000000000007E-2</v>
      </c>
      <c r="AB59" s="19"/>
      <c r="AC59" s="59">
        <f>AVERAGE(X59,Y59,Z59,AA59)+10%</f>
        <v>0.13072751322751325</v>
      </c>
      <c r="AD59" s="59">
        <f>AVERAGE(Y59,Z59,AA59,AC59)+10.9930195170482%</f>
        <v>0.16011207347736031</v>
      </c>
      <c r="AE59" s="59">
        <f>AVERAGE(Z59,AA59,AC59,AD59)+10.9930195170482%</f>
        <v>0.2076400918467004</v>
      </c>
      <c r="AF59" s="59">
        <f>AVERAGE(AA59,AC59,AD59,AE59)+10.9930195170482%</f>
        <v>0.25205011480837547</v>
      </c>
      <c r="AG59" s="19"/>
    </row>
    <row r="60" spans="1:33" outlineLevel="1" x14ac:dyDescent="0.25">
      <c r="A60" s="123"/>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21">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6.7450884657582852</v>
      </c>
      <c r="Z60" s="43">
        <f t="shared" ref="Z60:AA60" si="167">+Z40/((Y50+Z50)/2)</f>
        <v>7.2689672614849083</v>
      </c>
      <c r="AA60" s="43">
        <f t="shared" si="167"/>
        <v>8.961258219827231</v>
      </c>
      <c r="AB60" s="19"/>
      <c r="AC60" s="43">
        <f>+AC40/((AA50+AC50)/2)</f>
        <v>7.7595589152395776</v>
      </c>
      <c r="AD60" s="43">
        <f>+AD40/((AC50+AD50)/2)</f>
        <v>7.6798118034282297</v>
      </c>
      <c r="AE60" s="43">
        <f t="shared" ref="AE60:AF60" si="168">+AE40/((AD50+AE50)/2)</f>
        <v>8.6109166474536512</v>
      </c>
      <c r="AF60" s="43">
        <f t="shared" si="168"/>
        <v>11.013577351113716</v>
      </c>
      <c r="AG60" s="19"/>
    </row>
    <row r="61" spans="1:33" ht="18" x14ac:dyDescent="0.4">
      <c r="A61" s="123"/>
      <c r="B61" s="189" t="s">
        <v>26</v>
      </c>
      <c r="C61" s="190"/>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117</v>
      </c>
      <c r="T61" s="27" t="s">
        <v>123</v>
      </c>
      <c r="U61" s="27" t="s">
        <v>124</v>
      </c>
      <c r="V61" s="27" t="s">
        <v>125</v>
      </c>
      <c r="W61" s="80" t="s">
        <v>126</v>
      </c>
      <c r="X61" s="27" t="s">
        <v>127</v>
      </c>
      <c r="Y61" s="25" t="s">
        <v>104</v>
      </c>
      <c r="Z61" s="25" t="s">
        <v>105</v>
      </c>
      <c r="AA61" s="25" t="s">
        <v>106</v>
      </c>
      <c r="AB61" s="82" t="s">
        <v>107</v>
      </c>
      <c r="AC61" s="25" t="s">
        <v>108</v>
      </c>
      <c r="AD61" s="25" t="s">
        <v>109</v>
      </c>
      <c r="AE61" s="25" t="s">
        <v>110</v>
      </c>
      <c r="AF61" s="25" t="s">
        <v>111</v>
      </c>
      <c r="AG61" s="82" t="s">
        <v>112</v>
      </c>
    </row>
    <row r="62" spans="1:33" s="52" customFormat="1" ht="15.4" customHeight="1" outlineLevel="1" x14ac:dyDescent="0.25">
      <c r="A62" s="128"/>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
      <c r="A63" s="123"/>
      <c r="B63" s="189" t="s">
        <v>16</v>
      </c>
      <c r="C63" s="190"/>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117</v>
      </c>
      <c r="T63" s="27" t="s">
        <v>123</v>
      </c>
      <c r="U63" s="27" t="s">
        <v>124</v>
      </c>
      <c r="V63" s="27" t="s">
        <v>125</v>
      </c>
      <c r="W63" s="80" t="s">
        <v>126</v>
      </c>
      <c r="X63" s="27" t="s">
        <v>127</v>
      </c>
      <c r="Y63" s="25" t="s">
        <v>104</v>
      </c>
      <c r="Z63" s="25" t="s">
        <v>105</v>
      </c>
      <c r="AA63" s="25" t="s">
        <v>106</v>
      </c>
      <c r="AB63" s="82" t="s">
        <v>107</v>
      </c>
      <c r="AC63" s="25" t="s">
        <v>108</v>
      </c>
      <c r="AD63" s="25" t="s">
        <v>109</v>
      </c>
      <c r="AE63" s="25" t="s">
        <v>110</v>
      </c>
      <c r="AF63" s="25" t="s">
        <v>111</v>
      </c>
      <c r="AG63" s="82" t="s">
        <v>112</v>
      </c>
    </row>
    <row r="64" spans="1:33" s="42" customFormat="1" outlineLevel="1" x14ac:dyDescent="0.25">
      <c r="A64" s="130"/>
      <c r="B64" s="194" t="s">
        <v>99</v>
      </c>
      <c r="C64" s="195"/>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4.6721011015042002E-2</v>
      </c>
      <c r="Z64" s="55">
        <f t="shared" si="175"/>
        <v>8.8858732655774153E-2</v>
      </c>
      <c r="AA64" s="55">
        <f t="shared" si="175"/>
        <v>0.13515506688654311</v>
      </c>
      <c r="AB64" s="53">
        <f t="shared" si="175"/>
        <v>0.11127494039268759</v>
      </c>
      <c r="AC64" s="55">
        <f t="shared" si="175"/>
        <v>0.20762521336138762</v>
      </c>
      <c r="AD64" s="55">
        <f t="shared" si="175"/>
        <v>0.23678636185116275</v>
      </c>
      <c r="AE64" s="55">
        <f t="shared" si="175"/>
        <v>0.28446456315937674</v>
      </c>
      <c r="AF64" s="55">
        <f t="shared" si="175"/>
        <v>0.33164514122343558</v>
      </c>
      <c r="AG64" s="53">
        <f t="shared" si="175"/>
        <v>0.27076214562543388</v>
      </c>
    </row>
    <row r="65" spans="1:33" s="42" customFormat="1" outlineLevel="1" x14ac:dyDescent="0.25">
      <c r="A65" s="130"/>
      <c r="B65" s="194" t="s">
        <v>100</v>
      </c>
      <c r="C65" s="195"/>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-3.4994084681739812E-3</v>
      </c>
      <c r="Z65" s="55">
        <f t="shared" si="179"/>
        <v>8.7446075887894326E-2</v>
      </c>
      <c r="AA65" s="55">
        <f t="shared" si="179"/>
        <v>0.24509228961924001</v>
      </c>
      <c r="AB65" s="53"/>
      <c r="AC65" s="55">
        <f>+AC13/AA13-1</f>
        <v>-0.10495403947543314</v>
      </c>
      <c r="AD65" s="55">
        <f t="shared" ref="AD65:AF65" si="180">+AD13/AC13-1</f>
        <v>2.0563604955438741E-2</v>
      </c>
      <c r="AE65" s="55">
        <f t="shared" si="180"/>
        <v>0.12936719865998536</v>
      </c>
      <c r="AF65" s="55">
        <f t="shared" si="180"/>
        <v>0.29082665680399611</v>
      </c>
      <c r="AG65" s="53"/>
    </row>
    <row r="66" spans="1:33" s="42" customFormat="1" outlineLevel="1" x14ac:dyDescent="0.25">
      <c r="A66" s="130"/>
      <c r="B66" s="70" t="s">
        <v>103</v>
      </c>
      <c r="C66" s="71"/>
      <c r="D66" s="55"/>
      <c r="E66" s="55"/>
      <c r="F66" s="55"/>
      <c r="G66" s="55"/>
      <c r="H66" s="53"/>
      <c r="I66" s="55"/>
      <c r="J66" s="55"/>
      <c r="K66" s="55"/>
      <c r="L66" s="55"/>
      <c r="M66" s="53"/>
      <c r="N66" s="111">
        <f>+N84+N13</f>
        <v>11430</v>
      </c>
      <c r="O66" s="111">
        <f>+O84+O13</f>
        <v>12858</v>
      </c>
      <c r="P66" s="111">
        <f>+P84+P13</f>
        <v>13886</v>
      </c>
      <c r="Q66" s="111">
        <f>+Q84+Q13</f>
        <v>17262</v>
      </c>
      <c r="R66" s="54"/>
      <c r="S66" s="29">
        <f>+S84+S13</f>
        <v>15580</v>
      </c>
      <c r="T66" s="29">
        <f>+T84+T13</f>
        <v>17460</v>
      </c>
      <c r="U66" s="29">
        <f>+U84+U13</f>
        <v>17949</v>
      </c>
      <c r="V66" s="29">
        <f>+V84+V13</f>
        <v>21377</v>
      </c>
      <c r="W66" s="30">
        <f>SUM(S66:V66)</f>
        <v>72366</v>
      </c>
      <c r="X66" s="29">
        <f>+X84+X13</f>
        <v>18012</v>
      </c>
      <c r="Y66" s="29">
        <f>+Y84+Y13</f>
        <v>17949.930991999998</v>
      </c>
      <c r="Z66" s="29">
        <f>+Z84+Z13</f>
        <v>19370.534348839727</v>
      </c>
      <c r="AA66" s="29">
        <f>+AA84+AA13</f>
        <v>24031.339120102104</v>
      </c>
      <c r="AB66" s="30">
        <f>SUM(X66:AA66)</f>
        <v>79363.804460941828</v>
      </c>
      <c r="AC66" s="29">
        <f>+AC84+AC13</f>
        <v>21469.648409390931</v>
      </c>
      <c r="AD66" s="29">
        <f>+AD84+AD13</f>
        <v>21910.11359756604</v>
      </c>
      <c r="AE66" s="29">
        <f>+AE84+AE13</f>
        <v>24738.095256072214</v>
      </c>
      <c r="AF66" s="29">
        <f>+AF84+AF13</f>
        <v>31918.051462254294</v>
      </c>
      <c r="AG66" s="30">
        <f>SUM(AC66:AF66)</f>
        <v>100035.90872528347</v>
      </c>
    </row>
    <row r="67" spans="1:33" s="42" customFormat="1" outlineLevel="1" x14ac:dyDescent="0.25">
      <c r="A67" s="130"/>
      <c r="B67" s="194" t="s">
        <v>101</v>
      </c>
      <c r="C67" s="195"/>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32">
        <f>+W66/R13-1</f>
        <v>0.29599914037035702</v>
      </c>
      <c r="X67" s="55">
        <f>+X66/S13-1</f>
        <v>0.19466737414605029</v>
      </c>
      <c r="Y67" s="55">
        <f t="shared" ref="Y67" si="182">+Y66/T13-1</f>
        <v>6.3006691460381292E-2</v>
      </c>
      <c r="Z67" s="55">
        <f t="shared" ref="Z67" si="183">+Z66/U13-1</f>
        <v>9.7356353321987665E-2</v>
      </c>
      <c r="AA67" s="55">
        <f t="shared" ref="AA67" si="184">+AA66/V13-1</f>
        <v>0.13989844986728506</v>
      </c>
      <c r="AB67" s="132">
        <f>+AB66/W13-1</f>
        <v>0.12259083781407742</v>
      </c>
      <c r="AC67" s="55">
        <f>+AC66/X13-1</f>
        <v>0.21044417936465765</v>
      </c>
      <c r="AD67" s="55">
        <f t="shared" ref="AD67" si="185">+AD66/Y13-1</f>
        <v>0.2396152272098242</v>
      </c>
      <c r="AE67" s="55">
        <f t="shared" ref="AE67" si="186">+AE66/Z13-1</f>
        <v>0.2870659476522599</v>
      </c>
      <c r="AF67" s="55">
        <f t="shared" ref="AF67" si="187">+AF66/AA13-1</f>
        <v>0.33373445180271699</v>
      </c>
      <c r="AG67" s="132">
        <f>+AG66/AB13-1</f>
        <v>0.2733078471908339</v>
      </c>
    </row>
    <row r="68" spans="1:33" s="42" customFormat="1" outlineLevel="1" x14ac:dyDescent="0.25">
      <c r="A68" s="130"/>
      <c r="B68" s="194" t="s">
        <v>102</v>
      </c>
      <c r="C68" s="195"/>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32"/>
      <c r="X68" s="55"/>
      <c r="Y68" s="55"/>
      <c r="Z68" s="55"/>
      <c r="AA68" s="55"/>
      <c r="AB68" s="53"/>
      <c r="AC68" s="55"/>
      <c r="AD68" s="55"/>
      <c r="AE68" s="55"/>
      <c r="AF68" s="55"/>
      <c r="AG68" s="53"/>
    </row>
    <row r="69" spans="1:33" s="42" customFormat="1" outlineLevel="1" x14ac:dyDescent="0.25">
      <c r="A69" s="130"/>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29">
        <f>+S15/S13</f>
        <v>0.81322544272733299</v>
      </c>
      <c r="T69" s="55">
        <f t="shared" ref="T69:U69" si="190">+T15/T13</f>
        <v>0.80415729006277392</v>
      </c>
      <c r="U69" s="55">
        <f t="shared" si="190"/>
        <v>0.82126671198731027</v>
      </c>
      <c r="V69" s="55">
        <f t="shared" ref="V69" si="191">+V15/V13</f>
        <v>0.83436106631249407</v>
      </c>
      <c r="W69" s="132">
        <f>+W15/W13</f>
        <v>0.81936998741106415</v>
      </c>
      <c r="X69" s="129">
        <f>+X15/X13</f>
        <v>0.80498393189378137</v>
      </c>
      <c r="Y69" s="60">
        <v>0.8</v>
      </c>
      <c r="Z69" s="60">
        <v>0.79500000000000004</v>
      </c>
      <c r="AA69" s="60">
        <v>0.81</v>
      </c>
      <c r="AB69" s="54">
        <f>+AB15/AB13</f>
        <v>0.80294805885542331</v>
      </c>
      <c r="AC69" s="60">
        <v>0.80500000000000005</v>
      </c>
      <c r="AD69" s="60">
        <v>0.81499999999999995</v>
      </c>
      <c r="AE69" s="60">
        <v>0.81499999999999995</v>
      </c>
      <c r="AF69" s="60">
        <v>0.81499999999999995</v>
      </c>
      <c r="AG69" s="54">
        <f>+AG15/AG13</f>
        <v>0.81285451460472691</v>
      </c>
    </row>
    <row r="70" spans="1:33" s="42" customFormat="1" outlineLevel="1" x14ac:dyDescent="0.25">
      <c r="A70" s="130"/>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32"/>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25">
      <c r="A71" s="130"/>
      <c r="B71" s="70" t="s">
        <v>136</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32"/>
      <c r="X71" s="55">
        <f t="shared" ref="X71" si="200">+X18/X13</f>
        <v>0.15712916502226984</v>
      </c>
      <c r="Y71" s="60">
        <v>0.17</v>
      </c>
      <c r="Z71" s="60">
        <v>0.16500000000000001</v>
      </c>
      <c r="AA71" s="60">
        <v>0.15</v>
      </c>
      <c r="AB71" s="150"/>
      <c r="AC71" s="60">
        <v>0.16400000000000001</v>
      </c>
      <c r="AD71" s="60">
        <v>0.16</v>
      </c>
      <c r="AE71" s="60">
        <f t="shared" ref="AE71" si="201">AD71</f>
        <v>0.16</v>
      </c>
      <c r="AF71" s="60">
        <v>0.16</v>
      </c>
      <c r="AG71" s="54"/>
    </row>
    <row r="72" spans="1:33" s="42" customFormat="1" outlineLevel="1" x14ac:dyDescent="0.25">
      <c r="A72" s="130"/>
      <c r="B72" s="70" t="s">
        <v>137</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32"/>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25">
      <c r="A73" s="130"/>
      <c r="B73" s="144" t="s">
        <v>11</v>
      </c>
      <c r="C73" s="145"/>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53201.126850080007</v>
      </c>
      <c r="AC73" s="51"/>
      <c r="AD73" s="51"/>
      <c r="AE73" s="51"/>
      <c r="AF73" s="51"/>
      <c r="AG73" s="30">
        <f>AG14+AG17+AG18+AG19</f>
        <v>65038.319107000571</v>
      </c>
    </row>
    <row r="74" spans="1:33" s="42" customFormat="1" outlineLevel="1" x14ac:dyDescent="0.25">
      <c r="A74" s="130"/>
      <c r="B74" s="70" t="s">
        <v>98</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49">
        <f>+(W14+W17+W18+W19)/(R14+R17+R18+R19)-1</f>
        <v>0.51046079223928853</v>
      </c>
      <c r="X74" s="55">
        <f>+(X14+X17+X18+X19)/(V14+V17+V18+V19)-1</f>
        <v>-3.1086387434554941E-2</v>
      </c>
      <c r="Y74" s="55">
        <f>+(Y14+Y17+Y18+Y19)/(W14+W17+W18+W19)-1</f>
        <v>-0.72755988280619133</v>
      </c>
      <c r="Z74" s="55">
        <f>+(Z14+Z17+Z18+Z19)/(X14+X17+X18+X19)-1</f>
        <v>0.12622854087257407</v>
      </c>
      <c r="AA74" s="55">
        <f>+(AA14+AA17+AA18+AA19)/(Y14+Y17+Y18+Y19)-1</f>
        <v>0.20164901796243573</v>
      </c>
      <c r="AB74" s="53">
        <f>+(AB14+AB17+AB18+AB19)/(W14+W17+W18+W19)-1</f>
        <v>0.13894215174327251</v>
      </c>
      <c r="AC74" s="55">
        <f>+(AC14+AC17+AC18+AC19)/(AA14+AA17+AA18+AA19)-1</f>
        <v>-4.1922633804688969E-2</v>
      </c>
      <c r="AD74" s="55">
        <f>+(AD14+AD17+AD18+AD19)/(AB14+AB17+AB18+AB19)-1</f>
        <v>-0.73497228150518223</v>
      </c>
      <c r="AE74" s="55">
        <f>+(AE14+AE17+AE18+AE19)/(AC14+AC17+AC18+AC19)-1</f>
        <v>8.6873148290854907E-2</v>
      </c>
      <c r="AF74" s="55">
        <f>+(AF14+AF17+AF18+AF19)/(AD14+AD17+AD18+AD19)-1</f>
        <v>0.44425619432384833</v>
      </c>
      <c r="AG74" s="53">
        <f>+(AG14+AG17+AG18+AG19)/(AB14+AB17+AB18+AB19)-1</f>
        <v>0.22249890101534131</v>
      </c>
    </row>
    <row r="75" spans="1:33" s="42" customFormat="1" outlineLevel="1" x14ac:dyDescent="0.25">
      <c r="A75" s="130"/>
      <c r="B75" s="194" t="s">
        <v>4</v>
      </c>
      <c r="C75" s="195"/>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32">
        <f t="shared" si="207"/>
        <v>0.33927889443682191</v>
      </c>
      <c r="X75" s="51">
        <f t="shared" si="207"/>
        <v>0.33224333314540228</v>
      </c>
      <c r="Y75" s="51">
        <f t="shared" si="207"/>
        <v>0.28000000000000008</v>
      </c>
      <c r="Z75" s="51">
        <f t="shared" si="207"/>
        <v>0.30600000000000011</v>
      </c>
      <c r="AA75" s="51">
        <f t="shared" si="207"/>
        <v>0.36100000000000004</v>
      </c>
      <c r="AB75" s="54">
        <f t="shared" si="207"/>
        <v>0.32282904048353378</v>
      </c>
      <c r="AC75" s="51">
        <f t="shared" si="207"/>
        <v>0.31600000000000017</v>
      </c>
      <c r="AD75" s="51">
        <f t="shared" si="207"/>
        <v>0.35499999999999998</v>
      </c>
      <c r="AE75" s="51">
        <f t="shared" si="207"/>
        <v>0.35499999999999998</v>
      </c>
      <c r="AF75" s="51">
        <f t="shared" si="207"/>
        <v>0.36099999999999999</v>
      </c>
      <c r="AG75" s="54">
        <f t="shared" si="207"/>
        <v>0.34854783276460932</v>
      </c>
    </row>
    <row r="76" spans="1:33" s="42" customFormat="1" outlineLevel="1" x14ac:dyDescent="0.25">
      <c r="A76" s="130"/>
      <c r="B76" s="194" t="s">
        <v>2</v>
      </c>
      <c r="C76" s="195"/>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29">
        <f t="shared" si="208"/>
        <v>0.30241240666283747</v>
      </c>
      <c r="T76" s="51">
        <f t="shared" si="208"/>
        <v>0.45860927152317882</v>
      </c>
      <c r="U76" s="51">
        <f t="shared" si="208"/>
        <v>0.16891799699822621</v>
      </c>
      <c r="V76" s="51">
        <f t="shared" si="208"/>
        <v>0.19849492856363835</v>
      </c>
      <c r="W76" s="132">
        <f t="shared" si="208"/>
        <v>0.25499758181525067</v>
      </c>
      <c r="X76" s="129">
        <f t="shared" si="208"/>
        <v>0.16362395495649207</v>
      </c>
      <c r="Y76" s="59">
        <v>0.18</v>
      </c>
      <c r="Z76" s="59">
        <v>0.18</v>
      </c>
      <c r="AA76" s="59">
        <v>0.19</v>
      </c>
      <c r="AB76" s="151">
        <f>-AB24/AB23</f>
        <v>0.17968444083698545</v>
      </c>
      <c r="AC76" s="59">
        <v>0.19</v>
      </c>
      <c r="AD76" s="59">
        <f>AVERAGE(Y76,Z76,AA76,AC76)+0.246782050130681%</f>
        <v>0.18746782050130681</v>
      </c>
      <c r="AE76" s="59">
        <f>AVERAGE(Z76,AA76,AC76,AD76)+0.246782050130681%</f>
        <v>0.18933477562663353</v>
      </c>
      <c r="AF76" s="59">
        <f>AVERAGE(AA76,AC76,AD76,AE76)+0.246782050130681%</f>
        <v>0.19166846953329189</v>
      </c>
      <c r="AG76" s="54">
        <f>-AG24/AG23</f>
        <v>0.18981568468174356</v>
      </c>
    </row>
    <row r="77" spans="1:33" ht="18" x14ac:dyDescent="0.4">
      <c r="A77" s="123"/>
      <c r="B77" s="189" t="s">
        <v>18</v>
      </c>
      <c r="C77" s="190"/>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117</v>
      </c>
      <c r="T77" s="27" t="s">
        <v>123</v>
      </c>
      <c r="U77" s="27" t="s">
        <v>124</v>
      </c>
      <c r="V77" s="27" t="s">
        <v>125</v>
      </c>
      <c r="W77" s="80" t="s">
        <v>126</v>
      </c>
      <c r="X77" s="27" t="s">
        <v>127</v>
      </c>
      <c r="Y77" s="25" t="s">
        <v>104</v>
      </c>
      <c r="Z77" s="25" t="s">
        <v>105</v>
      </c>
      <c r="AA77" s="25" t="s">
        <v>106</v>
      </c>
      <c r="AB77" s="82" t="s">
        <v>107</v>
      </c>
      <c r="AC77" s="25" t="s">
        <v>108</v>
      </c>
      <c r="AD77" s="25" t="s">
        <v>109</v>
      </c>
      <c r="AE77" s="25" t="s">
        <v>110</v>
      </c>
      <c r="AF77" s="25" t="s">
        <v>111</v>
      </c>
      <c r="AG77" s="82" t="s">
        <v>112</v>
      </c>
    </row>
    <row r="78" spans="1:33" outlineLevel="1" x14ac:dyDescent="0.25">
      <c r="A78" s="123"/>
      <c r="B78" s="194" t="s">
        <v>12</v>
      </c>
      <c r="C78" s="195"/>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25">
      <c r="A79" s="123"/>
      <c r="B79" s="194" t="s">
        <v>13</v>
      </c>
      <c r="C79" s="195"/>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25">
      <c r="A80" s="123"/>
      <c r="B80" s="194" t="s">
        <v>5</v>
      </c>
      <c r="C80" s="195"/>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31">
        <v>166.34</v>
      </c>
      <c r="T80" s="131">
        <f>((2159*180.22)+(2200*186.29)+(1800*181.21))/6159</f>
        <v>182.67754180873519</v>
      </c>
      <c r="U80" s="131">
        <f>((1980*199.28)+(1980*184.89)+(2100*185.71))/6060</f>
        <v>189.87584158415842</v>
      </c>
      <c r="V80" s="131">
        <f>((2415*184.42)+(2100*195.74)+(2205*202.02))/6720</f>
        <v>193.73250000000002</v>
      </c>
      <c r="W80" s="62"/>
      <c r="X80" s="131">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25">
      <c r="A81" s="123"/>
      <c r="B81" s="194" t="s">
        <v>6</v>
      </c>
      <c r="C81" s="195"/>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18">
        <v>521.80858000000001</v>
      </c>
      <c r="T81" s="118">
        <f>((2159*180.22)+(2200*186.29)+(1800*181.21))/1000</f>
        <v>1125.1109799999999</v>
      </c>
      <c r="U81" s="118">
        <f>((1980*199.28)+(1980*184.89)+(2100*185.71))/1000</f>
        <v>1150.6476</v>
      </c>
      <c r="V81" s="118">
        <f>((2415*184.42)+(2100*195.74)+(2205*202.02))/1000</f>
        <v>1301.8824000000002</v>
      </c>
      <c r="W81" s="30">
        <f>+SUM(S81:V81)</f>
        <v>4099.44956</v>
      </c>
      <c r="X81" s="118">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25">
      <c r="A82" s="123"/>
      <c r="B82" s="200" t="s">
        <v>17</v>
      </c>
      <c r="C82" s="201"/>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8" x14ac:dyDescent="0.4">
      <c r="A83" s="123"/>
      <c r="B83" s="189" t="s">
        <v>24</v>
      </c>
      <c r="C83" s="190"/>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117</v>
      </c>
      <c r="T83" s="27" t="s">
        <v>123</v>
      </c>
      <c r="U83" s="27" t="s">
        <v>124</v>
      </c>
      <c r="V83" s="27" t="s">
        <v>125</v>
      </c>
      <c r="W83" s="80" t="s">
        <v>126</v>
      </c>
      <c r="X83" s="27" t="s">
        <v>127</v>
      </c>
      <c r="Y83" s="25" t="s">
        <v>104</v>
      </c>
      <c r="Z83" s="25" t="s">
        <v>105</v>
      </c>
      <c r="AA83" s="25" t="s">
        <v>106</v>
      </c>
      <c r="AB83" s="82" t="s">
        <v>107</v>
      </c>
      <c r="AC83" s="25" t="s">
        <v>108</v>
      </c>
      <c r="AD83" s="25" t="s">
        <v>109</v>
      </c>
      <c r="AE83" s="25" t="s">
        <v>110</v>
      </c>
      <c r="AF83" s="25" t="s">
        <v>111</v>
      </c>
      <c r="AG83" s="82" t="s">
        <v>112</v>
      </c>
    </row>
    <row r="84" spans="1:33" outlineLevel="1" x14ac:dyDescent="0.25">
      <c r="A84" s="123"/>
      <c r="B84" s="194" t="s">
        <v>93</v>
      </c>
      <c r="C84" s="195"/>
      <c r="D84" s="29"/>
      <c r="E84" s="29"/>
      <c r="F84" s="29"/>
      <c r="G84" s="29"/>
      <c r="H84" s="30"/>
      <c r="I84" s="29">
        <v>-536</v>
      </c>
      <c r="J84" s="29">
        <v>-373</v>
      </c>
      <c r="K84" s="29">
        <v>159</v>
      </c>
      <c r="L84" s="29">
        <v>348</v>
      </c>
      <c r="M84" s="30"/>
      <c r="N84" s="29">
        <v>-536</v>
      </c>
      <c r="O84" s="29">
        <v>-373</v>
      </c>
      <c r="P84" s="29">
        <v>159</v>
      </c>
      <c r="Q84" s="29">
        <v>348</v>
      </c>
      <c r="R84" s="30">
        <v>-401</v>
      </c>
      <c r="S84" s="118">
        <v>503</v>
      </c>
      <c r="T84" s="118">
        <v>574</v>
      </c>
      <c r="U84" s="118">
        <v>297</v>
      </c>
      <c r="V84" s="118">
        <v>295</v>
      </c>
      <c r="W84" s="113">
        <f t="shared" ref="W84" si="216">SUM(S84:V84)</f>
        <v>1669</v>
      </c>
      <c r="X84" s="118">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8" x14ac:dyDescent="0.4">
      <c r="A85" s="123"/>
      <c r="B85" s="189" t="s">
        <v>94</v>
      </c>
      <c r="C85" s="190"/>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117</v>
      </c>
      <c r="T85" s="27" t="s">
        <v>123</v>
      </c>
      <c r="U85" s="27" t="s">
        <v>124</v>
      </c>
      <c r="V85" s="27" t="s">
        <v>125</v>
      </c>
      <c r="W85" s="80" t="s">
        <v>126</v>
      </c>
      <c r="X85" s="27" t="s">
        <v>127</v>
      </c>
      <c r="Y85" s="25" t="s">
        <v>104</v>
      </c>
      <c r="Z85" s="25" t="s">
        <v>105</v>
      </c>
      <c r="AA85" s="25" t="s">
        <v>106</v>
      </c>
      <c r="AB85" s="82" t="s">
        <v>107</v>
      </c>
      <c r="AC85" s="25" t="s">
        <v>108</v>
      </c>
      <c r="AD85" s="25" t="s">
        <v>109</v>
      </c>
      <c r="AE85" s="25" t="s">
        <v>110</v>
      </c>
      <c r="AF85" s="25" t="s">
        <v>111</v>
      </c>
      <c r="AG85" s="82" t="s">
        <v>112</v>
      </c>
    </row>
    <row r="86" spans="1:33" outlineLevel="1" x14ac:dyDescent="0.25">
      <c r="A86" s="123"/>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18">
        <v>87</v>
      </c>
      <c r="T86" s="118">
        <v>109</v>
      </c>
      <c r="U86" s="118">
        <v>91</v>
      </c>
      <c r="V86" s="118">
        <f>377-U86-T86-S86</f>
        <v>90</v>
      </c>
      <c r="W86" s="30">
        <f>SUM(S86:V86)</f>
        <v>377</v>
      </c>
      <c r="X86" s="118">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25">
      <c r="A87" s="133"/>
      <c r="B87" s="70" t="s">
        <v>97</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18">
        <v>723</v>
      </c>
      <c r="T87" s="118">
        <v>927</v>
      </c>
      <c r="U87" s="118">
        <v>907</v>
      </c>
      <c r="V87" s="118">
        <f>3488-U87-T87-S87</f>
        <v>931</v>
      </c>
      <c r="W87" s="30">
        <f t="shared" ref="W87:W89" si="220">SUM(S87:V87)</f>
        <v>3488</v>
      </c>
      <c r="X87" s="118">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25">
      <c r="A88" s="123"/>
      <c r="B88" s="70" t="s">
        <v>96</v>
      </c>
      <c r="C88" s="71"/>
      <c r="D88" s="29"/>
      <c r="E88" s="29"/>
      <c r="F88" s="29"/>
      <c r="G88" s="29"/>
      <c r="H88" s="30"/>
      <c r="I88" s="29">
        <v>96</v>
      </c>
      <c r="J88" s="29">
        <v>120</v>
      </c>
      <c r="K88" s="29">
        <v>114</v>
      </c>
      <c r="L88" s="29">
        <v>106</v>
      </c>
      <c r="M88" s="30"/>
      <c r="N88" s="29">
        <v>109</v>
      </c>
      <c r="O88" s="29">
        <v>139</v>
      </c>
      <c r="P88" s="29">
        <v>133</v>
      </c>
      <c r="Q88" s="85">
        <v>130</v>
      </c>
      <c r="R88" s="30">
        <f t="shared" si="219"/>
        <v>511</v>
      </c>
      <c r="S88" s="118">
        <v>113</v>
      </c>
      <c r="T88" s="118">
        <v>160</v>
      </c>
      <c r="U88" s="118">
        <v>148</v>
      </c>
      <c r="V88" s="118">
        <f>569-U88-T88-S88</f>
        <v>148</v>
      </c>
      <c r="W88" s="30">
        <f t="shared" si="220"/>
        <v>569</v>
      </c>
      <c r="X88" s="118">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25">
      <c r="A89" s="123"/>
      <c r="B89" s="76" t="s">
        <v>95</v>
      </c>
      <c r="C89" s="89"/>
      <c r="D89" s="67"/>
      <c r="E89" s="67"/>
      <c r="F89" s="67"/>
      <c r="G89" s="67"/>
      <c r="H89" s="68"/>
      <c r="I89" s="67">
        <v>67</v>
      </c>
      <c r="J89" s="67">
        <v>78</v>
      </c>
      <c r="K89" s="67">
        <v>73</v>
      </c>
      <c r="L89" s="67">
        <v>71</v>
      </c>
      <c r="M89" s="68"/>
      <c r="N89" s="67">
        <v>72</v>
      </c>
      <c r="O89" s="67">
        <v>92</v>
      </c>
      <c r="P89" s="67">
        <v>87</v>
      </c>
      <c r="Q89" s="104">
        <v>84</v>
      </c>
      <c r="R89" s="68">
        <f t="shared" si="219"/>
        <v>335</v>
      </c>
      <c r="S89" s="134">
        <v>87</v>
      </c>
      <c r="T89" s="142">
        <v>107</v>
      </c>
      <c r="U89" s="142">
        <v>103</v>
      </c>
      <c r="V89" s="147">
        <f>402-U89-T89-S89</f>
        <v>105</v>
      </c>
      <c r="W89" s="68">
        <f t="shared" si="220"/>
        <v>402</v>
      </c>
      <c r="X89" s="134">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25">
      <c r="A90" s="123"/>
      <c r="B90" s="20"/>
      <c r="C90" s="20"/>
      <c r="F90" s="3"/>
      <c r="G90" s="3"/>
      <c r="H90" s="3"/>
      <c r="I90" s="137"/>
      <c r="J90" s="137"/>
      <c r="K90" s="137"/>
      <c r="L90" s="137"/>
      <c r="M90" s="84"/>
      <c r="N90" s="137"/>
      <c r="O90" s="137"/>
      <c r="P90" s="137"/>
      <c r="Q90" s="137"/>
      <c r="R90" s="137"/>
      <c r="S90" s="137"/>
      <c r="T90" s="137"/>
      <c r="U90" s="137"/>
      <c r="V90" s="137"/>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39"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150" zoomScaleNormal="100" workbookViewId="0">
      <selection activeCell="A5" sqref="A5"/>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6" t="s">
        <v>128</v>
      </c>
    </row>
    <row r="2" spans="2:14" x14ac:dyDescent="0.25">
      <c r="B2" s="86"/>
    </row>
    <row r="3" spans="2:14" x14ac:dyDescent="0.25">
      <c r="B3" s="86"/>
    </row>
    <row r="4" spans="2:14" x14ac:dyDescent="0.25">
      <c r="B4" s="6"/>
      <c r="I4" s="6"/>
      <c r="L4" s="6"/>
    </row>
    <row r="5" spans="2:14" ht="12.4" customHeight="1" x14ac:dyDescent="0.25">
      <c r="B5" s="6"/>
    </row>
    <row r="6" spans="2:14" ht="21" customHeight="1" x14ac:dyDescent="0.25">
      <c r="C6" s="8"/>
      <c r="D6" s="9"/>
      <c r="E6" s="9"/>
      <c r="F6" s="9"/>
      <c r="H6" s="6"/>
    </row>
    <row r="7" spans="2:14" s="5" customFormat="1" ht="21" customHeight="1" x14ac:dyDescent="0.25">
      <c r="C7" s="9"/>
      <c r="D7" s="9"/>
      <c r="E7" s="9"/>
      <c r="F7" s="9"/>
      <c r="H7" s="214"/>
      <c r="I7" s="214"/>
      <c r="J7" s="214"/>
      <c r="K7" s="214"/>
      <c r="L7" s="214"/>
      <c r="M7" s="214"/>
      <c r="N7" s="214"/>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6"/>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6"/>
    </row>
    <row r="41" spans="2:2" x14ac:dyDescent="0.25">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2020-07-29T11:15:33Z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