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5A7A1E70-2D77-4F90-9049-7D4C291CE8B4}" xr6:coauthVersionLast="45" xr6:coauthVersionMax="45" xr10:uidLastSave="{00000000-0000-0000-0000-000000000000}"/>
  <bookViews>
    <workbookView xWindow="-108" yWindow="-108" windowWidth="23256" windowHeight="13176" tabRatio="767" activeTab="1" xr2:uid="{00000000-000D-0000-FFFF-FFFF00000000}"/>
  </bookViews>
  <sheets>
    <sheet name="Instructions" sheetId="39" r:id="rId1"/>
    <sheet name="Earnings Model" sheetId="3" r:id="rId2"/>
    <sheet name="Charts" sheetId="21" r:id="rId3"/>
  </sheets>
  <definedNames>
    <definedName name="DATA" localSheetId="2">#REF!</definedName>
    <definedName name="DATA">#REF!</definedName>
    <definedName name="_xlnm.Print_Area" localSheetId="1">'Earnings Model'!$B$2:$AG$90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67" i="3" l="1"/>
  <c r="Z42" i="3"/>
  <c r="Y42" i="3"/>
  <c r="Z52" i="3"/>
  <c r="Z36" i="3"/>
  <c r="Z44" i="3"/>
  <c r="Y44" i="3"/>
  <c r="Z54" i="3"/>
  <c r="Z37" i="3"/>
  <c r="Z46" i="3"/>
  <c r="Y46" i="3"/>
  <c r="Z56" i="3"/>
  <c r="Z38" i="3"/>
  <c r="Z48" i="3"/>
  <c r="Y48" i="3"/>
  <c r="Z58" i="3"/>
  <c r="Z39" i="3"/>
  <c r="Z40" i="3"/>
  <c r="Z13" i="3"/>
  <c r="Z93" i="3"/>
  <c r="AA42" i="3"/>
  <c r="AA52" i="3"/>
  <c r="AA36" i="3"/>
  <c r="AA44" i="3"/>
  <c r="AA54" i="3"/>
  <c r="AA37" i="3"/>
  <c r="AA46" i="3"/>
  <c r="AA56" i="3"/>
  <c r="AA38" i="3"/>
  <c r="AA49" i="3"/>
  <c r="AA48" i="3"/>
  <c r="AA59" i="3"/>
  <c r="AA58" i="3"/>
  <c r="AA39" i="3"/>
  <c r="AA40" i="3"/>
  <c r="AA13" i="3"/>
  <c r="AA93" i="3"/>
  <c r="Y52" i="3"/>
  <c r="Y36" i="3"/>
  <c r="Y54" i="3"/>
  <c r="Y37" i="3"/>
  <c r="Y56" i="3"/>
  <c r="Y38" i="3"/>
  <c r="Y58" i="3"/>
  <c r="Y39" i="3"/>
  <c r="Y40" i="3"/>
  <c r="Y13" i="3"/>
  <c r="AB13" i="3"/>
  <c r="AB93" i="3"/>
  <c r="AC42" i="3"/>
  <c r="AC52" i="3"/>
  <c r="AC36" i="3"/>
  <c r="AC44" i="3"/>
  <c r="AC54" i="3"/>
  <c r="AC37" i="3"/>
  <c r="AC46" i="3"/>
  <c r="AC56" i="3"/>
  <c r="AC38" i="3"/>
  <c r="AC48" i="3"/>
  <c r="AC58" i="3"/>
  <c r="AC39" i="3"/>
  <c r="AC40" i="3"/>
  <c r="AC13" i="3"/>
  <c r="AC93" i="3"/>
  <c r="AD42" i="3"/>
  <c r="AD52" i="3"/>
  <c r="AD36" i="3"/>
  <c r="AD44" i="3"/>
  <c r="AD54" i="3"/>
  <c r="AD37" i="3"/>
  <c r="AD46" i="3"/>
  <c r="AD56" i="3"/>
  <c r="AD38" i="3"/>
  <c r="AD48" i="3"/>
  <c r="AD58" i="3"/>
  <c r="AD39" i="3"/>
  <c r="AD40" i="3"/>
  <c r="AD13" i="3"/>
  <c r="AD93" i="3"/>
  <c r="AE42" i="3"/>
  <c r="AE52" i="3"/>
  <c r="AE36" i="3"/>
  <c r="AE44" i="3"/>
  <c r="AE54" i="3"/>
  <c r="AE37" i="3"/>
  <c r="AE46" i="3"/>
  <c r="AE56" i="3"/>
  <c r="AE38" i="3"/>
  <c r="AE48" i="3"/>
  <c r="AE58" i="3"/>
  <c r="AE39" i="3"/>
  <c r="AE40" i="3"/>
  <c r="AE13" i="3"/>
  <c r="AE93" i="3"/>
  <c r="AF42" i="3"/>
  <c r="AF52" i="3"/>
  <c r="AF36" i="3"/>
  <c r="AF44" i="3"/>
  <c r="AF54" i="3"/>
  <c r="AF37" i="3"/>
  <c r="AF46" i="3"/>
  <c r="AF56" i="3"/>
  <c r="AF38" i="3"/>
  <c r="AF48" i="3"/>
  <c r="AF58" i="3"/>
  <c r="AF39" i="3"/>
  <c r="AF40" i="3"/>
  <c r="AF13" i="3"/>
  <c r="AF93" i="3"/>
  <c r="AG13" i="3"/>
  <c r="AG93" i="3"/>
  <c r="Z14" i="3"/>
  <c r="Z15" i="3"/>
  <c r="Z17" i="3"/>
  <c r="Z18" i="3"/>
  <c r="Z19" i="3"/>
  <c r="Z20" i="3"/>
  <c r="Z21" i="3"/>
  <c r="Z23" i="3"/>
  <c r="Z24" i="3"/>
  <c r="Z25" i="3"/>
  <c r="Y82" i="3"/>
  <c r="Y29" i="3"/>
  <c r="Z81" i="3"/>
  <c r="Z82" i="3"/>
  <c r="Z29" i="3"/>
  <c r="Z31" i="3"/>
  <c r="Z95" i="3"/>
  <c r="AA14" i="3"/>
  <c r="AA15" i="3"/>
  <c r="AA17" i="3"/>
  <c r="AA18" i="3"/>
  <c r="AA19" i="3"/>
  <c r="AA20" i="3"/>
  <c r="AA21" i="3"/>
  <c r="AA23" i="3"/>
  <c r="AA24" i="3"/>
  <c r="AA25" i="3"/>
  <c r="AA81" i="3"/>
  <c r="AA82" i="3"/>
  <c r="AA29" i="3"/>
  <c r="AA31" i="3"/>
  <c r="AA95" i="3"/>
  <c r="Y14" i="3"/>
  <c r="AB14" i="3"/>
  <c r="AB15" i="3"/>
  <c r="Y17" i="3"/>
  <c r="AB17" i="3"/>
  <c r="Y18" i="3"/>
  <c r="AB18" i="3"/>
  <c r="Y19" i="3"/>
  <c r="AB19" i="3"/>
  <c r="AB20" i="3"/>
  <c r="AB21" i="3"/>
  <c r="AB23" i="3"/>
  <c r="Y15" i="3"/>
  <c r="Y20" i="3"/>
  <c r="Y21" i="3"/>
  <c r="Y23" i="3"/>
  <c r="Y24" i="3"/>
  <c r="AB24" i="3"/>
  <c r="AB25" i="3"/>
  <c r="Y25" i="3"/>
  <c r="AB29" i="3"/>
  <c r="AB31" i="3"/>
  <c r="AB95" i="3"/>
  <c r="AC14" i="3"/>
  <c r="AC15" i="3"/>
  <c r="AC17" i="3"/>
  <c r="AC18" i="3"/>
  <c r="AC19" i="3"/>
  <c r="AC20" i="3"/>
  <c r="AC21" i="3"/>
  <c r="AC23" i="3"/>
  <c r="AC24" i="3"/>
  <c r="AC25" i="3"/>
  <c r="AC80" i="3"/>
  <c r="AC81" i="3"/>
  <c r="AC82" i="3"/>
  <c r="AC29" i="3"/>
  <c r="AC31" i="3"/>
  <c r="AC95" i="3"/>
  <c r="AD14" i="3"/>
  <c r="AD15" i="3"/>
  <c r="AD17" i="3"/>
  <c r="AD18" i="3"/>
  <c r="AD19" i="3"/>
  <c r="AD20" i="3"/>
  <c r="AD21" i="3"/>
  <c r="AD23" i="3"/>
  <c r="AD24" i="3"/>
  <c r="AD25" i="3"/>
  <c r="AD80" i="3"/>
  <c r="AD81" i="3"/>
  <c r="AD82" i="3"/>
  <c r="AD29" i="3"/>
  <c r="AD31" i="3"/>
  <c r="AD95" i="3"/>
  <c r="AE14" i="3"/>
  <c r="AE15" i="3"/>
  <c r="AE17" i="3"/>
  <c r="AE18" i="3"/>
  <c r="AE19" i="3"/>
  <c r="AE20" i="3"/>
  <c r="AE21" i="3"/>
  <c r="AE23" i="3"/>
  <c r="AE24" i="3"/>
  <c r="AE25" i="3"/>
  <c r="AE80" i="3"/>
  <c r="AE81" i="3"/>
  <c r="AE82" i="3"/>
  <c r="AE29" i="3"/>
  <c r="AE31" i="3"/>
  <c r="AE95" i="3"/>
  <c r="AF14" i="3"/>
  <c r="AF15" i="3"/>
  <c r="AF17" i="3"/>
  <c r="AF18" i="3"/>
  <c r="AF19" i="3"/>
  <c r="AF20" i="3"/>
  <c r="AF21" i="3"/>
  <c r="AF23" i="3"/>
  <c r="AF24" i="3"/>
  <c r="AF25" i="3"/>
  <c r="AF80" i="3"/>
  <c r="AF81" i="3"/>
  <c r="AF82" i="3"/>
  <c r="AF29" i="3"/>
  <c r="AF31" i="3"/>
  <c r="AF95" i="3"/>
  <c r="AG14" i="3"/>
  <c r="AG15" i="3"/>
  <c r="AG17" i="3"/>
  <c r="AG18" i="3"/>
  <c r="AG19" i="3"/>
  <c r="AG20" i="3"/>
  <c r="AG21" i="3"/>
  <c r="AG23" i="3"/>
  <c r="AG24" i="3"/>
  <c r="AG25" i="3"/>
  <c r="AG29" i="3"/>
  <c r="AG31" i="3"/>
  <c r="AG95" i="3"/>
  <c r="Y31" i="3"/>
  <c r="Y95" i="3"/>
  <c r="Y93"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3" i="3"/>
  <c r="V14" i="3"/>
  <c r="V15" i="3"/>
  <c r="V17" i="3"/>
  <c r="V18" i="3"/>
  <c r="V19" i="3"/>
  <c r="V20" i="3"/>
  <c r="V21" i="3"/>
  <c r="V22" i="3"/>
  <c r="V23" i="3"/>
  <c r="V24" i="3"/>
  <c r="V25" i="3"/>
  <c r="X15" i="3"/>
  <c r="X20" i="3"/>
  <c r="X21" i="3"/>
  <c r="X23" i="3"/>
  <c r="X25" i="3"/>
  <c r="T81" i="3"/>
  <c r="U81" i="3"/>
  <c r="V81" i="3"/>
  <c r="X81" i="3"/>
  <c r="T43" i="3"/>
  <c r="U43" i="3"/>
  <c r="V43" i="3"/>
  <c r="X43" i="3"/>
  <c r="T53" i="3"/>
  <c r="U53" i="3"/>
  <c r="V53" i="3"/>
  <c r="X53" i="3"/>
  <c r="T45" i="3"/>
  <c r="U45" i="3"/>
  <c r="V45" i="3"/>
  <c r="X45" i="3"/>
  <c r="T55" i="3"/>
  <c r="U55" i="3"/>
  <c r="V55" i="3"/>
  <c r="X55" i="3"/>
  <c r="T47" i="3"/>
  <c r="U47" i="3"/>
  <c r="V47" i="3"/>
  <c r="X47" i="3"/>
  <c r="T57" i="3"/>
  <c r="U57" i="3"/>
  <c r="V57" i="3"/>
  <c r="X57" i="3"/>
  <c r="T49" i="3"/>
  <c r="U49" i="3"/>
  <c r="V49" i="3"/>
  <c r="X49" i="3"/>
  <c r="T59" i="3"/>
  <c r="U59" i="3"/>
  <c r="V59" i="3"/>
  <c r="X59" i="3"/>
  <c r="Y22" i="3"/>
  <c r="Z22" i="3"/>
  <c r="AA22" i="3"/>
  <c r="AC22" i="3"/>
  <c r="X76" i="3"/>
  <c r="AC76" i="3"/>
  <c r="AD22" i="3"/>
  <c r="AD76" i="3"/>
  <c r="AE70" i="3"/>
  <c r="AE71" i="3"/>
  <c r="AE72" i="3"/>
  <c r="AE22" i="3"/>
  <c r="AE76" i="3"/>
  <c r="AF70" i="3"/>
  <c r="AF22" i="3"/>
  <c r="AF76" i="3"/>
  <c r="H13" i="3"/>
  <c r="H14" i="3"/>
  <c r="H15" i="3"/>
  <c r="H17" i="3"/>
  <c r="H18" i="3"/>
  <c r="H19" i="3"/>
  <c r="H20" i="3"/>
  <c r="H21" i="3"/>
  <c r="H22" i="3"/>
  <c r="H23" i="3"/>
  <c r="H24" i="3"/>
  <c r="H25" i="3"/>
  <c r="M13" i="3"/>
  <c r="M14" i="3"/>
  <c r="M15" i="3"/>
  <c r="M17" i="3"/>
  <c r="M18" i="3"/>
  <c r="M19" i="3"/>
  <c r="M20" i="3"/>
  <c r="M21" i="3"/>
  <c r="M22" i="3"/>
  <c r="M23" i="3"/>
  <c r="M24" i="3"/>
  <c r="M25" i="3"/>
  <c r="R13" i="3"/>
  <c r="R14" i="3"/>
  <c r="R15" i="3"/>
  <c r="R17" i="3"/>
  <c r="R18" i="3"/>
  <c r="R19" i="3"/>
  <c r="R20" i="3"/>
  <c r="R21" i="3"/>
  <c r="R22" i="3"/>
  <c r="R23" i="3"/>
  <c r="R24" i="3"/>
  <c r="R25" i="3"/>
  <c r="W13" i="3"/>
  <c r="W14" i="3"/>
  <c r="W15" i="3"/>
  <c r="W17" i="3"/>
  <c r="W18" i="3"/>
  <c r="W19" i="3"/>
  <c r="W20" i="3"/>
  <c r="W21" i="3"/>
  <c r="W22" i="3"/>
  <c r="W23" i="3"/>
  <c r="W24" i="3"/>
  <c r="W25" i="3"/>
  <c r="AB22" i="3"/>
  <c r="AG22" i="3"/>
  <c r="W29" i="3"/>
  <c r="T80" i="3"/>
  <c r="T82" i="3"/>
  <c r="T79" i="3"/>
  <c r="U80" i="3"/>
  <c r="U82" i="3"/>
  <c r="U79" i="3"/>
  <c r="V80" i="3"/>
  <c r="V82" i="3"/>
  <c r="V79" i="3"/>
  <c r="X80" i="3"/>
  <c r="X82" i="3"/>
  <c r="X79" i="3"/>
  <c r="Y79" i="3"/>
  <c r="Z79" i="3"/>
  <c r="AA79" i="3"/>
  <c r="AC79" i="3"/>
  <c r="AD79" i="3"/>
  <c r="AE79" i="3"/>
  <c r="AF79" i="3"/>
  <c r="U31" i="3"/>
  <c r="V31" i="3"/>
  <c r="X31" i="3"/>
  <c r="AD84" i="3"/>
  <c r="AE84" i="3"/>
  <c r="AF84" i="3"/>
  <c r="Y84" i="3"/>
  <c r="X69" i="3"/>
  <c r="X70" i="3"/>
  <c r="X71" i="3"/>
  <c r="X72" i="3"/>
  <c r="AG73" i="3"/>
  <c r="AB73" i="3"/>
  <c r="W73" i="3"/>
  <c r="R73" i="3"/>
  <c r="M73" i="3"/>
  <c r="H73" i="3"/>
  <c r="T76" i="3"/>
  <c r="U76" i="3"/>
  <c r="V76" i="3"/>
  <c r="X78" i="3"/>
  <c r="V78" i="3"/>
  <c r="V69" i="3"/>
  <c r="V70" i="3"/>
  <c r="V71" i="3"/>
  <c r="V72" i="3"/>
  <c r="V89" i="3"/>
  <c r="V88" i="3"/>
  <c r="V87" i="3"/>
  <c r="V86" i="3"/>
  <c r="Y89" i="3"/>
  <c r="Z89" i="3"/>
  <c r="AA89" i="3"/>
  <c r="AC89" i="3"/>
  <c r="AD89" i="3"/>
  <c r="AE89" i="3"/>
  <c r="AF89" i="3"/>
  <c r="Y88" i="3"/>
  <c r="Z88" i="3"/>
  <c r="AA88" i="3"/>
  <c r="AC88" i="3"/>
  <c r="AD88" i="3"/>
  <c r="AE88" i="3"/>
  <c r="AF88" i="3"/>
  <c r="Y87" i="3"/>
  <c r="Z87" i="3"/>
  <c r="AA87" i="3"/>
  <c r="AC87" i="3"/>
  <c r="AD87" i="3"/>
  <c r="AE87" i="3"/>
  <c r="AF87" i="3"/>
  <c r="Y86"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Y78" i="3"/>
  <c r="Y28" i="3"/>
  <c r="Z78" i="3"/>
  <c r="Z28" i="3"/>
  <c r="Z30" i="3"/>
  <c r="W28" i="3"/>
  <c r="W30" i="3"/>
  <c r="W31" i="3"/>
  <c r="X30" i="3"/>
  <c r="AA78" i="3"/>
  <c r="AA28" i="3"/>
  <c r="AA30" i="3"/>
  <c r="Y30" i="3"/>
  <c r="AC78" i="3"/>
  <c r="AC28" i="3"/>
  <c r="AC30" i="3"/>
  <c r="AB28" i="3"/>
  <c r="AB30" i="3"/>
  <c r="AD78" i="3"/>
  <c r="AD28" i="3"/>
  <c r="AE78" i="3"/>
  <c r="AE28" i="3"/>
  <c r="AE30" i="3"/>
  <c r="AF78" i="3"/>
  <c r="AD30" i="3"/>
  <c r="AF28" i="3"/>
  <c r="AG28" i="3"/>
  <c r="AG30" i="3"/>
  <c r="AF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1139567B-CDB2-4F27-9D2D-8164BFFEA73D}">
      <text>
        <r>
          <rPr>
            <b/>
            <sz val="9"/>
            <color rgb="FF000000"/>
            <rFont val="Tahoma"/>
            <family val="2"/>
          </rPr>
          <t xml:space="preserve">Primary Output: </t>
        </r>
        <r>
          <rPr>
            <sz val="9"/>
            <color rgb="FF000000"/>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rgb="FF000000"/>
            <rFont val="Tahoma"/>
            <family val="2"/>
          </rPr>
          <t xml:space="preserve">Primary Input: </t>
        </r>
        <r>
          <rPr>
            <sz val="9"/>
            <color rgb="FF000000"/>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EB180744-0605-4677-8197-E126E6D6DF86}">
      <text>
        <r>
          <rPr>
            <b/>
            <sz val="9"/>
            <color rgb="FF000000"/>
            <rFont val="Tahoma"/>
            <family val="2"/>
          </rPr>
          <t xml:space="preserve">Primary Input: </t>
        </r>
        <r>
          <rPr>
            <sz val="9"/>
            <color rgb="FF000000"/>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A92F8496-7575-4AC2-B47A-F77C80969D85}">
      <text>
        <r>
          <rPr>
            <b/>
            <sz val="9"/>
            <color rgb="FF000000"/>
            <rFont val="Tahoma"/>
            <family val="2"/>
          </rPr>
          <t xml:space="preserve">1Q2019 Earnings Call: </t>
        </r>
        <r>
          <rPr>
            <sz val="9"/>
            <color rgb="FF000000"/>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t>
        </r>
        <r>
          <rPr>
            <sz val="9"/>
            <color rgb="FF000000"/>
            <rFont val="Tahoma"/>
            <family val="2"/>
          </rPr>
          <t xml:space="preserve">
</t>
        </r>
        <r>
          <rPr>
            <sz val="9"/>
            <color rgb="FF000000"/>
            <rFont val="Tahoma"/>
            <family val="2"/>
          </rPr>
          <t xml:space="preserve">"We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t>
        </r>
        <r>
          <rPr>
            <sz val="9"/>
            <color rgb="FF000000"/>
            <rFont val="Tahoma"/>
            <family val="2"/>
          </rPr>
          <t xml:space="preserve">
</t>
        </r>
        <r>
          <rPr>
            <sz val="9"/>
            <color rgb="FF000000"/>
            <rFont val="Tahoma"/>
            <family val="2"/>
          </rPr>
          <t xml:space="preserve">"On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t>
        </r>
        <r>
          <rPr>
            <sz val="9"/>
            <color rgb="FF000000"/>
            <rFont val="Tahoma"/>
            <family val="2"/>
          </rPr>
          <t xml:space="preserve">
</t>
        </r>
        <r>
          <rPr>
            <sz val="9"/>
            <color rgb="FF000000"/>
            <rFont val="Tahoma"/>
            <family val="2"/>
          </rPr>
          <t xml:space="preserve">"On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t>
        </r>
        <r>
          <rPr>
            <sz val="9"/>
            <color rgb="FF000000"/>
            <rFont val="Tahoma"/>
            <family val="2"/>
          </rPr>
          <t xml:space="preserve">But at the level it is at currently, we don't have that lever as strong going forward. So that's like contributor to -- deceleration on growth in North America and across the world."
</t>
        </r>
        <r>
          <rPr>
            <sz val="9"/>
            <color rgb="FF000000"/>
            <rFont val="Tahoma"/>
            <family val="2"/>
          </rPr>
          <t xml:space="preserve">
</t>
        </r>
        <r>
          <rPr>
            <sz val="9"/>
            <color rgb="FF000000"/>
            <rFont val="Tahoma"/>
            <family val="2"/>
          </rPr>
          <t xml:space="preserve">"And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rgb="FF000000"/>
            <rFont val="Tahoma"/>
            <family val="2"/>
          </rPr>
          <t xml:space="preserve">2Q2019 Earnings Call Guidance: </t>
        </r>
        <r>
          <rPr>
            <sz val="9"/>
            <color rgb="FF000000"/>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rgb="FF000000"/>
            <rFont val="Tahoma"/>
            <family val="2"/>
          </rPr>
          <t xml:space="preserve">
</t>
        </r>
        <r>
          <rPr>
            <b/>
            <sz val="9"/>
            <color rgb="FF000000"/>
            <rFont val="Tahoma"/>
            <family val="2"/>
          </rPr>
          <t xml:space="preserve">
</t>
        </r>
        <r>
          <rPr>
            <b/>
            <sz val="9"/>
            <color rgb="FF000000"/>
            <rFont val="Tahoma"/>
            <family val="2"/>
          </rPr>
          <t xml:space="preserve">Prior Gudiance:
</t>
        </r>
        <r>
          <rPr>
            <b/>
            <sz val="9"/>
            <color rgb="FF000000"/>
            <rFont val="Tahoma"/>
            <family val="2"/>
          </rPr>
          <t xml:space="preserve">1Q2019 Earnings Call Guidance: </t>
        </r>
        <r>
          <rPr>
            <sz val="9"/>
            <color rgb="FF000000"/>
            <rFont val="Tahoma"/>
            <family val="2"/>
          </rPr>
          <t xml:space="preserve">"We continue to expect that our revenue growth rates will decelerate sequentially throughout 2019 on a constant currency basis. In addition, we anticipate ad targeting related headwinds will be more pronounced in the second half of 2019." 
</t>
        </r>
        <r>
          <rPr>
            <sz val="9"/>
            <color rgb="FF000000"/>
            <rFont val="Tahoma"/>
            <family val="2"/>
          </rPr>
          <t xml:space="preserve">"And then, Dave, just to come back to your comments about revenue for the year you mentioned the ad targeting headwinds would be more pronounced in the second half. Can you help us better understand why that is, the sort of changes to expect that would drive that? " 
</t>
        </r>
        <r>
          <rPr>
            <sz val="9"/>
            <color rgb="FF000000"/>
            <rFont val="Tahoma"/>
            <family val="2"/>
          </rPr>
          <t xml:space="preserve">"We already talked about on the supply side the impact that Stories is having. And the supply growth really getting driven by Stories is coming through at lower prices, so that's one of the factors that factors into the lower growth outlook for the second half.
</t>
        </r>
        <r>
          <rPr>
            <sz val="9"/>
            <color rgb="FF000000"/>
            <rFont val="Tahoma"/>
            <family val="2"/>
          </rPr>
          <t xml:space="preserve">
</t>
        </r>
        <r>
          <rPr>
            <sz val="9"/>
            <color rgb="FF000000"/>
            <rFont val="Tahoma"/>
            <family val="2"/>
          </rPr>
          <t xml:space="preserve">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t>
        </r>
        <r>
          <rPr>
            <sz val="9"/>
            <color rgb="FF000000"/>
            <rFont val="Tahoma"/>
            <family val="2"/>
          </rPr>
          <t xml:space="preserve">seen that come up both in Europe and around the world. That means those people are seeing new less relevant ads and that's an ad targeting headwind for our business.
</t>
        </r>
        <r>
          <rPr>
            <sz val="9"/>
            <color rgb="FF000000"/>
            <rFont val="Tahoma"/>
            <family val="2"/>
          </rPr>
          <t xml:space="preserve">
</t>
        </r>
        <r>
          <rPr>
            <sz val="9"/>
            <color rgb="FF000000"/>
            <rFont val="Tahoma"/>
            <family val="2"/>
          </rPr>
          <t>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rgb="FF000000"/>
            <rFont val="Tahoma"/>
            <family val="2"/>
          </rPr>
          <t xml:space="preserve">
</t>
        </r>
        <r>
          <rPr>
            <b/>
            <sz val="9"/>
            <color rgb="FF000000"/>
            <rFont val="Tahoma"/>
            <family val="2"/>
          </rPr>
          <t xml:space="preserve">
</t>
        </r>
        <r>
          <rPr>
            <b/>
            <sz val="9"/>
            <color rgb="FF000000"/>
            <rFont val="Tahoma"/>
            <family val="2"/>
          </rPr>
          <t xml:space="preserve">4Q2018 Earnings call guidance: </t>
        </r>
        <r>
          <rPr>
            <sz val="9"/>
            <color rgb="FF000000"/>
            <rFont val="Tahoma"/>
            <family val="2"/>
          </rPr>
          <t xml:space="preserve">"In Q1, we expect our total revenue growth rate to decelerate by a mid-single digit percentage on a constant currency basis compared to the Q4 rate. We also expect that our revenue growth rates will continue to decelerate sequentially throughout 2019 on a constant currency basis."
</t>
        </r>
        <r>
          <rPr>
            <sz val="9"/>
            <color rgb="FF000000"/>
            <rFont val="Tahoma"/>
            <family val="2"/>
          </rPr>
          <t xml:space="preserve">
</t>
        </r>
        <r>
          <rPr>
            <sz val="9"/>
            <color rgb="FF000000"/>
            <rFont val="Tahoma"/>
            <family val="2"/>
          </rPr>
          <t xml:space="preserve">"We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t>
        </r>
        <r>
          <rPr>
            <sz val="9"/>
            <color rgb="FF000000"/>
            <rFont val="Tahoma"/>
            <family val="2"/>
          </rPr>
          <t>-Dave Wehner, CFO 4Q2019 follow-up call 1/30/2019 6:45pm</t>
        </r>
      </text>
    </comment>
    <comment ref="Y69" authorId="0" shapeId="0" xr:uid="{BAEA0B7F-7886-4605-885A-593765A95821}">
      <text>
        <r>
          <rPr>
            <b/>
            <sz val="9"/>
            <color rgb="FF000000"/>
            <rFont val="Tahoma"/>
            <family val="2"/>
          </rPr>
          <t xml:space="preserve">Primary Input: </t>
        </r>
        <r>
          <rPr>
            <sz val="9"/>
            <color rgb="FF000000"/>
            <rFont val="Tahoma"/>
            <family val="2"/>
          </rPr>
          <t xml:space="preserve">If you believe the cost to operate data centers, SBC, energy, bandwith costs, and TAC will increase, decrease the gross margin estimate. If not increase the estimate. </t>
        </r>
      </text>
    </comment>
    <comment ref="AB73" authorId="0" shapeId="0" xr:uid="{08A898E8-7F7A-414E-815F-EC25D459F691}">
      <text>
        <r>
          <rPr>
            <b/>
            <sz val="9"/>
            <color rgb="FF000000"/>
            <rFont val="Tahoma"/>
            <family val="2"/>
          </rPr>
          <t>Management Guidance:</t>
        </r>
        <r>
          <rPr>
            <sz val="9"/>
            <color rgb="FF000000"/>
            <rFont val="Tahoma"/>
            <family val="2"/>
          </rPr>
          <t xml:space="preserve"> "We expect total expenses in 2020 to be between $52-56 billion, down from the prior range of $54-59 billion."
</t>
        </r>
        <r>
          <rPr>
            <b/>
            <sz val="9"/>
            <color rgb="FF000000"/>
            <rFont val="Tahoma"/>
            <family val="2"/>
          </rPr>
          <t xml:space="preserve">Source: </t>
        </r>
        <r>
          <rPr>
            <sz val="9"/>
            <color rgb="FF000000"/>
            <rFont val="Tahoma"/>
            <family val="2"/>
          </rPr>
          <t>1Q2020 earnings conference call</t>
        </r>
      </text>
    </comment>
    <comment ref="W74" authorId="0" shapeId="0" xr:uid="{4A8C62BC-0161-41D5-B168-8A39C9AEAE2C}">
      <text>
        <r>
          <rPr>
            <b/>
            <sz val="9"/>
            <color rgb="FF000000"/>
            <rFont val="Tahoma"/>
            <family val="2"/>
          </rPr>
          <t xml:space="preserve">2Q2019 Earnings Call Guidance: </t>
        </r>
        <r>
          <rPr>
            <sz val="9"/>
            <color rgb="FF000000"/>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rgb="FF000000"/>
            <rFont val="Tahoma"/>
            <family val="2"/>
          </rPr>
          <t xml:space="preserve">
</t>
        </r>
        <r>
          <rPr>
            <b/>
            <sz val="9"/>
            <color rgb="FF000000"/>
            <rFont val="Tahoma"/>
            <family val="2"/>
          </rPr>
          <t xml:space="preserve">
</t>
        </r>
        <r>
          <rPr>
            <b/>
            <sz val="9"/>
            <color rgb="FF000000"/>
            <rFont val="Tahoma"/>
            <family val="2"/>
          </rPr>
          <t xml:space="preserve">Prior Guidance:
</t>
        </r>
        <r>
          <rPr>
            <b/>
            <sz val="9"/>
            <color rgb="FF000000"/>
            <rFont val="Tahoma"/>
            <family val="2"/>
          </rPr>
          <t xml:space="preserve">1Q2019 Earnings Call Guidance: </t>
        </r>
        <r>
          <rPr>
            <sz val="9"/>
            <color rgb="FF000000"/>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rgb="FF000000"/>
            <rFont val="Tahoma"/>
            <family val="2"/>
          </rPr>
          <t xml:space="preserve">
</t>
        </r>
        <r>
          <rPr>
            <b/>
            <sz val="9"/>
            <color rgb="FF000000"/>
            <rFont val="Tahoma"/>
            <family val="2"/>
          </rPr>
          <t xml:space="preserve">
</t>
        </r>
        <r>
          <rPr>
            <b/>
            <sz val="9"/>
            <color rgb="FF000000"/>
            <rFont val="Tahoma"/>
            <family val="2"/>
          </rPr>
          <t>4Q2018 Earnings call guidance: "</t>
        </r>
        <r>
          <rPr>
            <sz val="9"/>
            <color rgb="FF000000"/>
            <rFont val="Tahoma"/>
            <family val="2"/>
          </rPr>
          <t xml:space="preserve">On a full-year basis, we continue to expect 2019 total expenses will grow approximately 40-50% compared to 2018."
</t>
        </r>
        <r>
          <rPr>
            <sz val="9"/>
            <color rgb="FF000000"/>
            <rFont val="Tahoma"/>
            <family val="2"/>
          </rPr>
          <t xml:space="preserve">
</t>
        </r>
        <r>
          <rPr>
            <sz val="9"/>
            <color rgb="FF000000"/>
            <rFont val="Tahoma"/>
            <family val="2"/>
          </rPr>
          <t xml:space="preserve">"I would note that the 62 percent expense growth that we saw in Q4 we don't expect to continue. You know, there's the continuing underlying secular factors that are driving the expense growth rate. That's the investment in infrastructure, which is
</t>
        </r>
        <r>
          <rPr>
            <sz val="9"/>
            <color rgb="FF000000"/>
            <rFont val="Tahoma"/>
            <family val="2"/>
          </rPr>
          <t xml:space="preserve">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t>
        </r>
        <r>
          <rPr>
            <sz val="9"/>
            <color rgb="FF000000"/>
            <rFont val="Tahoma"/>
            <family val="2"/>
          </rPr>
          <t xml:space="preserve">Oculus Go. I think I called that out on the call. And that's -- so we would expect that to tick down in 2019, so I wouldn't expect that 62 percent growth rate into Q1."
</t>
        </r>
        <r>
          <rPr>
            <sz val="9"/>
            <color rgb="FF000000"/>
            <rFont val="Tahoma"/>
            <family val="2"/>
          </rPr>
          <t>-Dave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rgb="FF000000"/>
            <rFont val="Tahoma"/>
            <family val="2"/>
          </rPr>
          <t xml:space="preserve">2Q2019 Earnings call guidance: </t>
        </r>
        <r>
          <rPr>
            <sz val="9"/>
            <color rgb="FF000000"/>
            <rFont val="Tahoma"/>
            <family val="2"/>
          </rPr>
          <t xml:space="preserve">"We expect our tax rate for the remaining quarters of 2019 to be approximately 16%."
</t>
        </r>
        <r>
          <rPr>
            <b/>
            <sz val="9"/>
            <color rgb="FF000000"/>
            <rFont val="Tahoma"/>
            <family val="2"/>
          </rPr>
          <t xml:space="preserve">
</t>
        </r>
        <r>
          <rPr>
            <b/>
            <sz val="9"/>
            <color rgb="FF000000"/>
            <rFont val="Tahoma"/>
            <family val="2"/>
          </rPr>
          <t xml:space="preserve">Prior guidance:
</t>
        </r>
        <r>
          <rPr>
            <b/>
            <sz val="9"/>
            <color rgb="FF000000"/>
            <rFont val="Tahoma"/>
            <family val="2"/>
          </rPr>
          <t xml:space="preserve">1Q2019 Earnings call guidance: </t>
        </r>
        <r>
          <rPr>
            <sz val="9"/>
            <color rgb="FF000000"/>
            <rFont val="Tahoma"/>
            <family val="2"/>
          </rPr>
          <t>"We expect our tax rate for the remaining quarters of 2019 to be in the mid-teens."</t>
        </r>
        <r>
          <rPr>
            <b/>
            <sz val="9"/>
            <color rgb="FF000000"/>
            <rFont val="Tahoma"/>
            <family val="2"/>
          </rPr>
          <t xml:space="preserve">
</t>
        </r>
        <r>
          <rPr>
            <b/>
            <sz val="9"/>
            <color rgb="FF000000"/>
            <rFont val="Tahoma"/>
            <family val="2"/>
          </rPr>
          <t xml:space="preserve">
</t>
        </r>
        <r>
          <rPr>
            <b/>
            <sz val="9"/>
            <color rgb="FF000000"/>
            <rFont val="Tahoma"/>
            <family val="2"/>
          </rPr>
          <t>4Q2018 Earnings call guidance:</t>
        </r>
        <r>
          <rPr>
            <sz val="9"/>
            <color rgb="FF000000"/>
            <rFont val="Tahoma"/>
            <family val="2"/>
          </rPr>
          <t xml:space="preserve"> "we expect that our 2019 tax rate will be a few percentage points higher than our 2018 rate."</t>
        </r>
      </text>
    </comment>
    <comment ref="AB76" authorId="0" shapeId="0" xr:uid="{CC07A69E-E1BA-4729-956F-8EED6E949E0D}">
      <text>
        <r>
          <rPr>
            <b/>
            <sz val="9"/>
            <color rgb="FF000000"/>
            <rFont val="Tahoma"/>
            <family val="2"/>
          </rPr>
          <t xml:space="preserve">Management Guidance: </t>
        </r>
        <r>
          <rPr>
            <sz val="9"/>
            <color rgb="FF000000"/>
            <rFont val="Tahoma"/>
            <family val="2"/>
          </rPr>
          <t xml:space="preserve">"We expect our full-year 2020 tax rate will be in the high-teens, although we may see fluctuations in our quarterly rate depending on our financial results."
</t>
        </r>
        <r>
          <rPr>
            <b/>
            <sz val="9"/>
            <color rgb="FF000000"/>
            <rFont val="Tahoma"/>
            <family val="2"/>
          </rPr>
          <t>Source:</t>
        </r>
        <r>
          <rPr>
            <sz val="9"/>
            <color rgb="FF000000"/>
            <rFont val="Tahoma"/>
            <family val="2"/>
          </rPr>
          <t xml:space="preserve"> 1Q2020 earnings conference call</t>
        </r>
      </text>
    </comment>
  </commentList>
</comments>
</file>

<file path=xl/sharedStrings.xml><?xml version="1.0" encoding="utf-8"?>
<sst xmlns="http://schemas.openxmlformats.org/spreadsheetml/2006/main" count="443" uniqueCount="160">
  <si>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</si>
  <si>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</si>
  <si>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</si>
  <si>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</si>
  <si>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</si>
  <si>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</si>
  <si>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</si>
  <si>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</si>
  <si>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</si>
  <si>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</si>
  <si>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</si>
  <si>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</si>
  <si>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</si>
  <si>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</si>
  <si>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</si>
  <si>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</si>
  <si>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</si>
  <si>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</si>
  <si>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</si>
  <si>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</si>
  <si>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</si>
  <si>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</si>
  <si>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</si>
  <si>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</si>
  <si>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</si>
  <si>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</si>
  <si>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</si>
  <si>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</si>
  <si>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</si>
  <si>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</si>
  <si>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</si>
  <si>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</si>
  <si>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</si>
  <si>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</si>
  <si>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</si>
  <si>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</si>
  <si>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</si>
  <si>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</si>
  <si>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</si>
  <si>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</si>
  <si>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</si>
  <si>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</si>
  <si>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</si>
  <si>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</si>
  <si>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</si>
  <si>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</si>
  <si>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</si>
  <si>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</si>
  <si>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</si>
  <si>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</si>
  <si>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</si>
  <si>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</si>
  <si>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</si>
  <si>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</si>
  <si>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</si>
  <si>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</si>
  <si>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</si>
  <si>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</si>
  <si>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</si>
  <si>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</si>
  <si>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</si>
  <si>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</si>
  <si>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</si>
  <si>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</si>
  <si>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</si>
  <si>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</si>
  <si>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</si>
  <si>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</si>
  <si>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</si>
  <si>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</si>
  <si>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</si>
  <si>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</si>
  <si>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</si>
  <si>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</si>
  <si>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</si>
  <si>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</si>
  <si>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</si>
  <si>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</si>
  <si>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</si>
  <si>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</si>
  <si>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</si>
  <si>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</si>
  <si>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</si>
  <si>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</si>
  <si>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</si>
  <si>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</si>
  <si>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</si>
  <si>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</si>
  <si>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</si>
  <si>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</si>
  <si>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</si>
  <si>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</si>
  <si>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</si>
  <si>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</si>
  <si>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</si>
  <si>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</si>
  <si>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</si>
  <si>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</si>
  <si>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</si>
  <si>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</si>
  <si>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</si>
  <si>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</si>
  <si>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</si>
  <si>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</si>
  <si>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</si>
  <si>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</si>
  <si>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</si>
  <si>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</si>
  <si>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</si>
  <si>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</si>
  <si>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</si>
  <si>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</si>
  <si>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</si>
  <si>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</si>
  <si>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</si>
  <si>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</si>
  <si>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</si>
  <si>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</si>
  <si>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</si>
  <si>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Notes &amp; Instructions</t>
  </si>
  <si>
    <r>
      <rPr>
        <b/>
        <sz val="11"/>
        <color theme="1"/>
        <rFont val="Calibri"/>
        <family val="2"/>
        <scheme val="minor"/>
      </rPr>
      <t xml:space="preserve">Color code: </t>
    </r>
    <r>
      <rPr>
        <sz val="11"/>
        <color theme="1"/>
        <rFont val="Calibri"/>
        <family val="2"/>
        <scheme val="minor"/>
      </rPr>
      <t xml:space="preserve">Blue cells represent our primary assumptions which drive the model. Orange cells have been calibrated to meet consensus estimates. Purple cells have been calibrated to meet the guidance from the company's management team. Please be mindful of the dates reflected in the color code legend as data can change every day and our models are only updated periodically, which means the model may not reflect the latest available data. </t>
    </r>
  </si>
  <si>
    <r>
      <rPr>
        <b/>
        <i/>
        <sz val="11"/>
        <color theme="1"/>
        <rFont val="Calibri"/>
        <family val="2"/>
        <scheme val="minor"/>
      </rPr>
      <t>Incorporate Your Own Forecast:</t>
    </r>
    <r>
      <rPr>
        <sz val="11"/>
        <color theme="1"/>
        <rFont val="Calibri"/>
        <family val="2"/>
        <scheme val="minor"/>
      </rPr>
      <t xml:space="preserve"> The model is designed to be "dynamic", meaning if you change the forecast items in the blue cells, the equations will incorporate the new estimates throughout the financial statements to calculate a new earnings forecast. You may change any value, however, changing only the blue cells will help to maintain the integrity of the equations in the model. Keep in mind that there are limits to the concept of a "dynamic" model in a spreadsheet. As a result you will need to carefully exam your estimates to ensure they have resulted in your desired effect. For example, if you believe a company will need to issue new equity and you enter this forecast in the Balance Sheet, you should confirm that the resulting cash shows up in the Cash Flow Statement. If it does not you should adjust the Cash Flow to reflect your assumption.
To enter your own earnings forecast, read the MD&amp;A highlights at the bottom of this worksheet, and consider whether or not you believe the trends which drove each segments revenue and costs will continue. Then adjust the corresponding growth rates in the blue cells accordingly.</t>
    </r>
  </si>
  <si>
    <r>
      <rPr>
        <b/>
        <sz val="11"/>
        <color theme="1"/>
        <rFont val="Calibri"/>
        <family val="2"/>
        <scheme val="minor"/>
      </rPr>
      <t>Interest expense and other income:</t>
    </r>
    <r>
      <rPr>
        <sz val="11"/>
        <color theme="1"/>
        <rFont val="Calibri"/>
        <family val="2"/>
        <scheme val="minor"/>
      </rPr>
      <t xml:space="preserve"> These amounts are forecasted based on effective interest rates, and Balance Sheet projections for cash and debt.  To prevent a circular reference error the prior period debt/cash balances are used in the forecast as an approximation. If necessary the effective interest rate forecasts may be adjusted to compensate for significant future period balance changes. </t>
    </r>
  </si>
  <si>
    <r>
      <rPr>
        <b/>
        <sz val="11"/>
        <color theme="1"/>
        <rFont val="Calibri"/>
        <family val="2"/>
        <scheme val="minor"/>
      </rPr>
      <t>Tax provision:</t>
    </r>
    <r>
      <rPr>
        <sz val="11"/>
        <color theme="1"/>
        <rFont val="Calibri"/>
        <family val="2"/>
        <scheme val="minor"/>
      </rPr>
      <t xml:space="preserve"> based on the historic effective tax rate and management's guidance.</t>
    </r>
  </si>
  <si>
    <r>
      <t>Balance Sheet:</t>
    </r>
    <r>
      <rPr>
        <b/>
        <sz val="11"/>
        <color theme="1"/>
        <rFont val="Calibri"/>
        <family val="2"/>
        <scheme val="minor"/>
      </rPr>
      <t xml:space="preserve"> </t>
    </r>
    <r>
      <rPr>
        <sz val="11"/>
        <color theme="1"/>
        <rFont val="Calibri"/>
        <family val="2"/>
        <scheme val="minor"/>
      </rPr>
      <t xml:space="preserve">Driven by operating ratios combined with the Income Statement forecasts, which produce balance forecasts for receivables, inventory and payables. Note that the turnover ratios include both Income Statement and Balance Sheet metrics, therefore, the Balance Sheet component of the ratios </t>
    </r>
    <r>
      <rPr>
        <b/>
        <u/>
        <sz val="11"/>
        <color theme="1"/>
        <rFont val="Calibri"/>
        <family val="2"/>
        <scheme val="minor"/>
      </rPr>
      <t>should be based on an average of the current and previous quarter's balances; However, this would cause a circular reference error in the forecast period</t>
    </r>
    <r>
      <rPr>
        <sz val="11"/>
        <color theme="1"/>
        <rFont val="Calibri"/>
        <family val="2"/>
        <scheme val="minor"/>
      </rPr>
      <t>. For simplicity, and to prevent a circular reference error, the historic turnover ratios are calculated based on one period (not the average balance of two periods), and these ratios are the basis for the future period forecasts which represent approximations. You may adjust the future period input turnover ratios as you see fit.</t>
    </r>
  </si>
  <si>
    <r>
      <rPr>
        <b/>
        <sz val="11"/>
        <color theme="1"/>
        <rFont val="Calibri"/>
        <family val="2"/>
        <scheme val="minor"/>
      </rPr>
      <t>Other balance sheet accounts:</t>
    </r>
    <r>
      <rPr>
        <sz val="11"/>
        <color theme="1"/>
        <rFont val="Calibri"/>
        <family val="2"/>
        <scheme val="minor"/>
      </rPr>
      <t xml:space="preserve"> Estimated with basic growth rates, or held flat to the last reported value if no reasonable forecast can be determined.</t>
    </r>
  </si>
  <si>
    <r>
      <t xml:space="preserve">Cash Flow Statement: </t>
    </r>
    <r>
      <rPr>
        <sz val="11"/>
        <color theme="1"/>
        <rFont val="Calibri"/>
        <family val="2"/>
        <scheme val="minor"/>
      </rPr>
      <t>Generally driven by the net income from the Income statement, adjusted for non-cash items, and changes in Balance Sheet accounts.</t>
    </r>
  </si>
  <si>
    <r>
      <t xml:space="preserve">Stock-Based Compensation (SBC): </t>
    </r>
    <r>
      <rPr>
        <sz val="11"/>
        <color theme="1"/>
        <rFont val="Calibri"/>
        <family val="2"/>
        <scheme val="minor"/>
      </rPr>
      <t>Projected based on the historic ratio of SBC to revenue.</t>
    </r>
  </si>
  <si>
    <r>
      <t>Changes in operating assets &amp; liabilities:</t>
    </r>
    <r>
      <rPr>
        <sz val="11"/>
        <color theme="1"/>
        <rFont val="Calibri"/>
        <family val="2"/>
        <scheme val="minor"/>
      </rPr>
      <t xml:space="preserve"> Taken directly from the projected changes in the Balance Sheet forecast</t>
    </r>
  </si>
  <si>
    <r>
      <t xml:space="preserve">Valuation Approach: </t>
    </r>
    <r>
      <rPr>
        <sz val="11"/>
        <color theme="1"/>
        <rFont val="Calibri"/>
        <family val="2"/>
        <scheme val="minor"/>
      </rPr>
      <t xml:space="preserve">Similar to our approach for earnings estimates, we attempt to keep our model developers' opinions out of our consensus-based versions of the models in the valuation section as well, and attempt to make it clear where the blue cell valuation input forecasts come from, so that the user of the model can understand the estimates and change them as he/she sees fit. For market multiple-based valuation this is relatively easy to do as the multiple simply represents a short term historic multiple observed at some point in the last few months. You may change the multiple as you see fit.
</t>
    </r>
    <r>
      <rPr>
        <b/>
        <sz val="11"/>
        <color theme="1"/>
        <rFont val="Calibri"/>
        <family val="2"/>
        <scheme val="minor"/>
      </rPr>
      <t>Discounted Cash Flow:</t>
    </r>
    <r>
      <rPr>
        <sz val="11"/>
        <color theme="1"/>
        <rFont val="Calibri"/>
        <family val="2"/>
        <scheme val="minor"/>
      </rPr>
      <t xml:space="preserve"> Given the nature of the discounted cash flow valuation, there are many assumptions and estimates which must be made. We use the Constant Sharpe approach, estimates of volatility, and interest rates to estimate the market Equity Risk Premium (ERP). Refer to our latest ERP model for details on our interest rate and volatility assumptions https://www.gutenbergresearch.com/equity-risk-premium-model.html. We then use estimates of Beta to link the market ERP to an individual stock, and use the cost and weight of debt to calculate a Weighted Average Cost of Capital (WACC) which is used as a discount rate for the cash flows produced by the earnings model. We use two stages in our discount model, with the terminal stage based on longer-term theoretical inputs. 
</t>
    </r>
    <r>
      <rPr>
        <b/>
        <sz val="11"/>
        <color theme="1"/>
        <rFont val="Calibri"/>
        <family val="2"/>
        <scheme val="minor"/>
      </rPr>
      <t>Overall</t>
    </r>
    <r>
      <rPr>
        <sz val="11"/>
        <color theme="1"/>
        <rFont val="Calibri"/>
        <family val="2"/>
        <scheme val="minor"/>
      </rPr>
      <t xml:space="preserve"> </t>
    </r>
    <r>
      <rPr>
        <b/>
        <sz val="11"/>
        <color theme="1"/>
        <rFont val="Calibri"/>
        <family val="2"/>
        <scheme val="minor"/>
      </rPr>
      <t>Valuation in the Consensus/Management Guidance-Based Models:</t>
    </r>
    <r>
      <rPr>
        <sz val="11"/>
        <color theme="1"/>
        <rFont val="Calibri"/>
        <family val="2"/>
        <scheme val="minor"/>
      </rPr>
      <t xml:space="preserve"> In general since we have calibrated our model to meet the consensus estimates, the resulting valuation should theoretically be close to the current share value. As you change your earnings estimates, or the estimates in the valuation section based on your opinions, the theoretical share value should also change. Remember  that this model is for demonstration only, and does not represent investment advice. Refer to our full Terms of Use for details.</t>
    </r>
  </si>
  <si>
    <r>
      <rPr>
        <b/>
        <sz val="11"/>
        <color theme="1"/>
        <rFont val="Calibri"/>
        <family val="2"/>
        <scheme val="minor"/>
      </rPr>
      <t>Want Additional Details on Our Modeling Approach?</t>
    </r>
    <r>
      <rPr>
        <sz val="11"/>
        <color theme="1"/>
        <rFont val="Calibri"/>
        <family val="2"/>
        <scheme val="minor"/>
      </rPr>
      <t xml:space="preserve"> Check out our training course</t>
    </r>
  </si>
  <si>
    <t>https://www.gutenbergresearch.com/certificateprogram.html</t>
  </si>
  <si>
    <r>
      <rPr>
        <b/>
        <sz val="11"/>
        <color theme="1"/>
        <rFont val="Calibri"/>
        <family val="2"/>
        <scheme val="minor"/>
      </rPr>
      <t xml:space="preserve">About our  Consensus/Management Guidance-based Models: </t>
    </r>
    <r>
      <rPr>
        <sz val="11"/>
        <color theme="1"/>
        <rFont val="Calibri"/>
        <family val="2"/>
        <scheme val="minor"/>
      </rPr>
      <t xml:space="preserve">Generally speaking, we attempt to keep the opinions of our model developers' out of our consensus/guidance-based versions of the models, and attempt to make it clear where the blue cell forecasts come from, so that the user of the model can understand the estimate and change it as he/she sees fit. </t>
    </r>
  </si>
  <si>
    <r>
      <rPr>
        <b/>
        <sz val="11"/>
        <color theme="1"/>
        <rFont val="Calibri"/>
        <family val="2"/>
        <scheme val="minor"/>
      </rPr>
      <t>Property &amp; Equipment (P&amp;E):</t>
    </r>
    <r>
      <rPr>
        <sz val="11"/>
        <color theme="1"/>
        <rFont val="Calibri"/>
        <family val="2"/>
        <scheme val="minor"/>
      </rPr>
      <t xml:space="preserve"> Based on a capex to revenue forecast, and estimates for depreciation.</t>
    </r>
  </si>
  <si>
    <r>
      <rPr>
        <b/>
        <sz val="11"/>
        <color theme="1"/>
        <rFont val="Calibri"/>
        <family val="2"/>
        <scheme val="minor"/>
      </rPr>
      <t xml:space="preserve">Equity Section: </t>
    </r>
    <r>
      <rPr>
        <sz val="11"/>
        <color theme="1"/>
        <rFont val="Calibri"/>
        <family val="2"/>
        <scheme val="minor"/>
      </rPr>
      <t>Common stock and APIC are projected using  the last reported balance and additions for any projected stock issuances, including stock issuances related to stock-based compensation, and share repurchases. Future retained earnings is based on the projected net income from the Income Statement, less dividend distributions. Accumulated other comprehensive income will change due primarily to changes in foreign currency, however due to the nature of fx fluctuations the balance is held flat to the last reported value.</t>
    </r>
  </si>
  <si>
    <t xml:space="preserve">Excerpt from MD&amp;A section of SEC filing (source: 10-K filing for January 30, 2019) </t>
  </si>
  <si>
    <r>
      <rPr>
        <b/>
        <sz val="11"/>
        <color theme="1"/>
        <rFont val="Calibri"/>
        <family val="2"/>
        <scheme val="minor"/>
      </rPr>
      <t>Note:</t>
    </r>
    <r>
      <rPr>
        <sz val="11"/>
        <color theme="1"/>
        <rFont val="Calibri"/>
        <family val="2"/>
        <scheme val="minor"/>
      </rPr>
      <t xml:space="preserve"> Please refer to the full 10-K including the Management's Discussion and Analysis (MD&amp;A) section available at www.SEC.gov</t>
    </r>
  </si>
  <si>
    <r>
      <rPr>
        <b/>
        <sz val="11"/>
        <color theme="1"/>
        <rFont val="Calibri"/>
        <family val="2"/>
        <scheme val="minor"/>
      </rPr>
      <t xml:space="preserve">Advertising: </t>
    </r>
    <r>
      <rPr>
        <sz val="11"/>
        <color theme="1"/>
        <rFont val="Calibri"/>
        <family val="2"/>
        <scheme val="minor"/>
      </rPr>
      <t>We generate substantially all of our revenue from advertising. Our advertising revenue is generated by displaying ad products on Facebook, Instagram, Messenger, and third-party affiliated websites or mobile applications. Marketers pay for ad products either directly or through their relationships with advertising agencies or resellers, based on the number of impressions delivered or the number of actions, such as clicks, taken by users.
We recognize revenue from the display of impression-based ads in the contracted period in which the impressions are delivered. Impressions are considered delivered when an ad is displayed to a user. We recognize revenue from the delivery of action-based ads in the period in which a user takes the action the marketer contracted for. The number of ads we show is subject to methodological changes as we continue to evolve our ads business and the structure of our ads products. We calculate price per ad as total ad revenue divided by the number of ads delivered, representing the effective price paid per impression by a marketer regardless of their desired objective such as impression or action. For advertising revenue arrangements where we are not the principal, we recognize revenue on a net basis.</t>
    </r>
  </si>
  <si>
    <r>
      <rPr>
        <b/>
        <sz val="11"/>
        <color theme="1"/>
        <rFont val="Calibri"/>
        <family val="2"/>
        <scheme val="minor"/>
      </rPr>
      <t xml:space="preserve">Cost of revenue: </t>
    </r>
    <r>
      <rPr>
        <sz val="11"/>
        <color theme="1"/>
        <rFont val="Calibri"/>
        <family val="2"/>
        <scheme val="minor"/>
      </rPr>
      <t>Our cost of revenue consists primarily of expenses associated with the delivery and distribution of our products. These include expenses related to the operation of our data centers, such as facility and server equipment depreciation, salaries, benefits, and share-based compensation for employees on our operations teams, and energy and bandwidth costs. Cost of revenue also includes costs associated with partner arrangements, including traffic acquisition and content acquisition costs, credit card and other transaction fees related to processing customer transactions, and cost of consumer hardware device inventory sold.</t>
    </r>
  </si>
  <si>
    <r>
      <rPr>
        <b/>
        <sz val="11"/>
        <color theme="1"/>
        <rFont val="Calibri"/>
        <family val="2"/>
        <scheme val="minor"/>
      </rPr>
      <t>2018 Compared to 2017 . Revenue in 2018 increased $15.19 billion , or 37% , compared to 2017 .</t>
    </r>
    <r>
      <rPr>
        <sz val="11"/>
        <color theme="1"/>
        <rFont val="Calibri"/>
        <family val="2"/>
        <scheme val="minor"/>
      </rPr>
      <t xml:space="preserve"> The increase was mostly due to an increase in advertising revenue. The most important factor driving advertising revenue growth </t>
    </r>
    <r>
      <rPr>
        <b/>
        <u/>
        <sz val="11"/>
        <color theme="1"/>
        <rFont val="Calibri"/>
        <family val="2"/>
        <scheme val="minor"/>
      </rPr>
      <t>was an increase in revenue from ads on mobile devices.</t>
    </r>
    <r>
      <rPr>
        <sz val="11"/>
        <color theme="1"/>
        <rFont val="Calibri"/>
        <family val="2"/>
        <scheme val="minor"/>
      </rPr>
      <t xml:space="preserve"> For 2018 , we estimate that mobile advertising revenue represented approximately 92% of total advertising revenue, as compared with approximately 88% in 2017 . The increase in advertising revenue for 2018 was </t>
    </r>
    <r>
      <rPr>
        <b/>
        <u/>
        <sz val="11"/>
        <color theme="1"/>
        <rFont val="Calibri"/>
        <family val="2"/>
        <scheme val="minor"/>
      </rPr>
      <t>due to increases in the number of ads delivered and the average price per ad.</t>
    </r>
    <r>
      <rPr>
        <sz val="11"/>
        <color theme="1"/>
        <rFont val="Calibri"/>
        <family val="2"/>
        <scheme val="minor"/>
      </rPr>
      <t xml:space="preserve"> In 2018 compared to 2017 , the number of ads delivered increased by 22%, as compared with approximately 15% in 2017 , and the average price per ad increased by 13%, as compared with approximately 29% in 2017 . The increase in the ads delivered was driven by an </t>
    </r>
    <r>
      <rPr>
        <b/>
        <u/>
        <sz val="11"/>
        <color theme="1"/>
        <rFont val="Calibri"/>
        <family val="2"/>
        <scheme val="minor"/>
      </rPr>
      <t xml:space="preserve">increase in users and their engagement, </t>
    </r>
    <r>
      <rPr>
        <sz val="11"/>
        <color theme="1"/>
        <rFont val="Calibri"/>
        <family val="2"/>
        <scheme val="minor"/>
      </rPr>
      <t>and an</t>
    </r>
    <r>
      <rPr>
        <b/>
        <u/>
        <sz val="11"/>
        <color theme="1"/>
        <rFont val="Calibri"/>
        <family val="2"/>
        <scheme val="minor"/>
      </rPr>
      <t xml:space="preserve"> increase in the number and frequency of ads displayed across our products</t>
    </r>
    <r>
      <rPr>
        <sz val="11"/>
        <color theme="1"/>
        <rFont val="Calibri"/>
        <family val="2"/>
        <scheme val="minor"/>
      </rPr>
      <t>. The increase in average price per ad was driven by an increase in demand for our ad inventory. Factors contributing to the increase in demand for our ad inventory include an increase in</t>
    </r>
    <r>
      <rPr>
        <b/>
        <u/>
        <sz val="11"/>
        <color theme="1"/>
        <rFont val="Calibri"/>
        <family val="2"/>
        <scheme val="minor"/>
      </rPr>
      <t xml:space="preserve"> spend from existing marketers and an increase in the number of marketers actively advertising on our platform as well as the quality, relevance, and performance of those ads</t>
    </r>
    <r>
      <rPr>
        <sz val="11"/>
        <color theme="1"/>
        <rFont val="Calibri"/>
        <family val="2"/>
        <scheme val="minor"/>
      </rPr>
      <t xml:space="preserve">. We anticipate that future advertising revenue growth will be driven by a combination of price and the
number of ads displayed.
</t>
    </r>
    <r>
      <rPr>
        <b/>
        <sz val="11"/>
        <color theme="1"/>
        <rFont val="Calibri"/>
        <family val="2"/>
        <scheme val="minor"/>
      </rPr>
      <t xml:space="preserve">Advertising spending is traditionally seasonally strong in the fourth quarter of each year. </t>
    </r>
    <r>
      <rPr>
        <sz val="11"/>
        <color theme="1"/>
        <rFont val="Calibri"/>
        <family val="2"/>
        <scheme val="minor"/>
      </rPr>
      <t>We believe that this seasonality in advertising spending affects our quarterly results, which generally reflect significant growth in advertising revenue between the third and fourth quarters and a decline in advertising spending between the fourth and subsequent first quarters. For instance, our advertising revenue increased 23%, 26%, and 27% between the third and fourth quarters of 2018 , 2017 , and 2016 , respectively, while advertising revenue for both the first quarters of 2018 and 2017 declined 8% and 9% compared to the fourth quarters of 2017 and 2016 , respectively</t>
    </r>
  </si>
  <si>
    <r>
      <rPr>
        <b/>
        <i/>
        <sz val="11"/>
        <color theme="1"/>
        <rFont val="Calibri"/>
        <family val="2"/>
        <scheme val="minor"/>
      </rPr>
      <t>Income Statement:</t>
    </r>
    <r>
      <rPr>
        <b/>
        <sz val="11"/>
        <color theme="1"/>
        <rFont val="Calibri"/>
        <family val="2"/>
        <scheme val="minor"/>
      </rPr>
      <t xml:space="preserve"> </t>
    </r>
    <r>
      <rPr>
        <sz val="11"/>
        <color theme="1"/>
        <rFont val="Calibri"/>
        <family val="2"/>
        <scheme val="minor"/>
      </rPr>
      <t>The primary drivers of this model are the estimates of Monthly Active Users (MAUs) and Average Revenue Per User (ARPU) for each region. Estimates for Gross Margin and Operating Expense Ratios are used to complete the majority of the Income Statement. Management's guidance is used as a reasonableness check against the forecasts entered into this model. Total revenue is calibrated to meet consensus estimates.</t>
    </r>
  </si>
  <si>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</si>
  <si>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</si>
  <si>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</si>
  <si>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</si>
  <si>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</si>
  <si>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</si>
  <si>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</si>
  <si>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</si>
  <si>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</si>
  <si>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</si>
  <si>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</si>
  <si>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rPr>
        <b/>
        <sz val="11"/>
        <color theme="1"/>
        <rFont val="Calibri"/>
        <family val="2"/>
        <scheme val="minor"/>
      </rPr>
      <t>Note:</t>
    </r>
    <r>
      <rPr>
        <sz val="11"/>
        <color theme="1"/>
        <rFont val="Calibri"/>
        <family val="2"/>
        <scheme val="minor"/>
      </rPr>
      <t xml:space="preserve"> Gutenberg Research is a media and entertainment company. The information presented on our website and within Gutenberg Research models, files, or other content does not represent investment advice. Data and information presented on our website, or on third party websites posted by us, within our models, files, and other content is for demonstration only, and is presented “as is”. Neither Gutenberg Research nor any Gutenberg Research agents or associates are liable for any errors, delays, incompleteness of data presented, or for actions taken based on reliance on any information contained on this website or within Gutenberg Research models or other content.  Investors should consult a professional investment adviser prior to making investment decisions. By accessing GutenbergResearch.com and/or receiving our models or other content you are deemed to have read and agreed to the Terms of Use, which are available at the following website: https://www.gutenbergresearch.com/terms-of-use.html. 
The Gutenberg ResearchTM logo is among the registered and unregistered trademarks of Gutenberg Research LLC. All rights reserved.​ 
Copyright Gutenberg Research LLC 2020. </t>
    </r>
  </si>
  <si>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</si>
  <si>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</si>
  <si>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</si>
  <si>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</si>
  <si>
    <t>% Difference</t>
  </si>
  <si>
    <t>Consensus Analyst Estimates</t>
  </si>
  <si>
    <t>Consensus Analyst Esimates Diluted EPS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</si>
</sst>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8">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s>
  <fonts count="8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b/>
      <i/>
      <u/>
      <sz val="16"/>
      <color theme="1"/>
      <name val="Calibri"/>
      <family val="2"/>
      <scheme val="minor"/>
    </font>
    <font>
      <b/>
      <i/>
      <sz val="11"/>
      <color theme="1"/>
      <name val="Calibri"/>
      <family val="2"/>
      <scheme val="minor"/>
    </font>
    <font>
      <b/>
      <u/>
      <sz val="11"/>
      <color theme="1"/>
      <name val="Calibri"/>
      <family val="2"/>
      <scheme val="minor"/>
    </font>
    <font>
      <sz val="11"/>
      <color theme="0"/>
      <name val="Calibri"/>
      <family val="2"/>
      <scheme val="minor"/>
    </font>
    <font>
      <sz val="10"/>
      <name val="Arial"/>
      <family val="2"/>
    </font>
    <font>
      <b/>
      <sz val="9"/>
      <color rgb="FF000000"/>
      <name val="Tahoma"/>
      <family val="2"/>
    </font>
    <font>
      <sz val="9"/>
      <color rgb="FF000000"/>
      <name val="Tahoma"/>
      <family val="2"/>
    </font>
    <font>
      <sz val="11"/>
      <color theme="4"/>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333">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7" fillId="0" borderId="0"/>
  </cellStyleXfs>
  <cellXfs count="23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7"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7"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165" fontId="61" fillId="0" borderId="0" xfId="2" applyNumberFormat="1" applyFont="1" applyAlignment="1">
      <alignment horizontal="right"/>
    </xf>
    <xf numFmtId="0" fontId="0" fillId="0" borderId="5" xfId="0" applyBorder="1" applyAlignment="1">
      <alignment horizontal="left" vertical="top" wrapText="1"/>
    </xf>
    <xf numFmtId="0" fontId="0" fillId="0" borderId="28" xfId="0" applyBorder="1" applyAlignment="1">
      <alignment horizontal="left" vertical="top" wrapText="1"/>
    </xf>
    <xf numFmtId="0" fontId="2" fillId="0" borderId="5" xfId="0" applyFont="1" applyBorder="1" applyAlignment="1">
      <alignment horizontal="left" vertical="top" wrapText="1"/>
    </xf>
    <xf numFmtId="0" fontId="0" fillId="0" borderId="26" xfId="0" applyBorder="1" applyAlignment="1">
      <alignment horizontal="left" vertical="top" wrapText="1"/>
    </xf>
    <xf numFmtId="0" fontId="53" fillId="0" borderId="8" xfId="329" applyBorder="1" applyAlignment="1">
      <alignment horizontal="left" vertical="top" wrapText="1"/>
    </xf>
    <xf numFmtId="0" fontId="0" fillId="0" borderId="0" xfId="0" applyAlignment="1">
      <alignment vertical="top" wrapText="1"/>
    </xf>
    <xf numFmtId="0" fontId="0" fillId="0" borderId="25" xfId="0" applyBorder="1" applyAlignment="1">
      <alignment vertical="top" wrapText="1"/>
    </xf>
    <xf numFmtId="0" fontId="0" fillId="0" borderId="28" xfId="0" applyBorder="1" applyAlignment="1">
      <alignment vertical="top" wrapText="1"/>
    </xf>
    <xf numFmtId="0" fontId="0" fillId="0" borderId="26" xfId="0" applyBorder="1" applyAlignment="1">
      <alignment vertical="top" wrapText="1"/>
    </xf>
    <xf numFmtId="0" fontId="0" fillId="0" borderId="29" xfId="0" applyBorder="1" applyAlignment="1">
      <alignment vertical="top" wrapText="1"/>
    </xf>
    <xf numFmtId="0" fontId="73" fillId="0" borderId="27" xfId="0" applyFont="1" applyBorder="1" applyAlignment="1">
      <alignment vertical="top" wrapText="1"/>
    </xf>
    <xf numFmtId="0" fontId="74" fillId="0" borderId="28" xfId="0" applyFont="1" applyBorder="1" applyAlignment="1">
      <alignment horizontal="left" vertical="top" wrapText="1"/>
    </xf>
    <xf numFmtId="0" fontId="74" fillId="0" borderId="26" xfId="0" applyFont="1" applyBorder="1" applyAlignment="1">
      <alignment horizontal="left" vertical="top" wrapText="1"/>
    </xf>
    <xf numFmtId="0" fontId="2" fillId="0" borderId="28" xfId="0" applyFont="1" applyBorder="1" applyAlignment="1">
      <alignment horizontal="left" vertical="top" wrapText="1"/>
    </xf>
    <xf numFmtId="0" fontId="76"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43" fontId="1" fillId="0" borderId="0" xfId="1" applyFont="1" applyFill="1" applyAlignment="1">
      <alignment horizontal="right"/>
    </xf>
    <xf numFmtId="166" fontId="1" fillId="0" borderId="0" xfId="2" applyNumberFormat="1" applyFont="1" applyFill="1" applyAlignment="1">
      <alignment horizontal="left"/>
    </xf>
    <xf numFmtId="166" fontId="1" fillId="0" borderId="0" xfId="2" applyNumberFormat="1" applyFont="1" applyFill="1" applyAlignment="1">
      <alignment horizontal="right"/>
    </xf>
    <xf numFmtId="9" fontId="1" fillId="0" borderId="0" xfId="2" applyFont="1" applyFill="1" applyAlignment="1">
      <alignment horizontal="right"/>
    </xf>
    <xf numFmtId="165" fontId="1" fillId="0" borderId="0" xfId="1" applyNumberFormat="1" applyFont="1" applyFill="1" applyAlignment="1">
      <alignment horizontal="right"/>
    </xf>
    <xf numFmtId="0" fontId="4" fillId="0" borderId="1" xfId="0" applyFont="1" applyBorder="1" applyAlignment="1">
      <alignment horizontal="right"/>
    </xf>
    <xf numFmtId="164" fontId="1" fillId="9" borderId="2" xfId="1" applyNumberFormat="1" applyFont="1" applyFill="1" applyBorder="1" applyAlignment="1">
      <alignment horizontal="right"/>
    </xf>
    <xf numFmtId="0" fontId="1" fillId="9" borderId="2" xfId="0" applyFont="1" applyFill="1" applyBorder="1" applyAlignment="1">
      <alignment horizontal="right"/>
    </xf>
    <xf numFmtId="0" fontId="1" fillId="9" borderId="11" xfId="0" applyFont="1" applyFill="1" applyBorder="1" applyAlignment="1">
      <alignment horizontal="right"/>
    </xf>
    <xf numFmtId="0" fontId="4" fillId="0" borderId="3" xfId="0" applyFont="1" applyBorder="1" applyAlignment="1">
      <alignment horizontal="right"/>
    </xf>
    <xf numFmtId="10" fontId="80" fillId="0" borderId="0" xfId="1" applyNumberFormat="1" applyFont="1" applyBorder="1" applyAlignment="1">
      <alignment horizontal="right"/>
    </xf>
    <xf numFmtId="10" fontId="80" fillId="0" borderId="4" xfId="1" applyNumberFormat="1" applyFont="1" applyBorder="1" applyAlignment="1">
      <alignment horizontal="right"/>
    </xf>
    <xf numFmtId="164" fontId="1" fillId="9" borderId="0" xfId="1" applyNumberFormat="1" applyFont="1" applyFill="1" applyBorder="1" applyAlignment="1">
      <alignment horizontal="right"/>
    </xf>
    <xf numFmtId="0" fontId="1" fillId="9" borderId="0" xfId="0" applyFont="1" applyFill="1" applyBorder="1" applyAlignment="1">
      <alignment horizontal="right"/>
    </xf>
    <xf numFmtId="0" fontId="1" fillId="9" borderId="4" xfId="0" applyFont="1" applyFill="1" applyBorder="1" applyAlignment="1">
      <alignment horizontal="right"/>
    </xf>
    <xf numFmtId="9" fontId="80" fillId="0" borderId="7" xfId="1" applyNumberFormat="1" applyFont="1" applyBorder="1"/>
    <xf numFmtId="9" fontId="80" fillId="0" borderId="10" xfId="1" applyNumberFormat="1" applyFont="1" applyBorder="1"/>
    <xf numFmtId="0" fontId="4" fillId="0" borderId="2" xfId="0" applyFont="1" applyBorder="1" applyAlignment="1">
      <alignment horizontal="right"/>
    </xf>
    <xf numFmtId="0" fontId="4" fillId="0" borderId="0" xfId="0" applyFont="1" applyBorder="1" applyAlignment="1">
      <alignment horizontal="right"/>
    </xf>
    <xf numFmtId="43" fontId="4" fillId="0" borderId="3" xfId="1" applyFont="1" applyBorder="1" applyAlignment="1">
      <alignment horizontal="right"/>
    </xf>
    <xf numFmtId="43" fontId="4" fillId="0" borderId="6" xfId="1" applyFont="1" applyFill="1" applyBorder="1" applyAlignment="1">
      <alignment horizontal="right"/>
    </xf>
    <xf numFmtId="0" fontId="4" fillId="0" borderId="7" xfId="0" applyFont="1" applyBorder="1" applyAlignment="1">
      <alignment horizontal="righ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2" fillId="0" borderId="0" xfId="0" applyFont="1" applyAlignment="1">
      <alignment horizontal="center" vertical="top" wrapText="1"/>
    </xf>
  </cellXfs>
  <cellStyles count="333">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2653.2400000000002</c:v>
                </c:pt>
                <c:pt idx="5">
                  <c:v>2663.9500000000003</c:v>
                </c:pt>
                <c:pt idx="6">
                  <c:v>2712.7694538541668</c:v>
                </c:pt>
                <c:pt idx="7">
                  <c:v>2797.79</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7.2543941216535019</c:v>
                </c:pt>
                <c:pt idx="5">
                  <c:v>7.7452778817382857</c:v>
                </c:pt>
                <c:pt idx="6">
                  <c:v>9.2823616954759451</c:v>
                </c:pt>
                <c:pt idx="7">
                  <c:v>7.9902158352526529</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utenbergresearch.com/certificateprogram.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204A-8669-451A-9BC9-81B1DBEF1591}">
  <dimension ref="B2:B25"/>
  <sheetViews>
    <sheetView showGridLines="0" workbookViewId="0">
      <selection activeCell="B4" sqref="B4"/>
    </sheetView>
  </sheetViews>
  <sheetFormatPr defaultColWidth="8.77734375" defaultRowHeight="14.4" x14ac:dyDescent="0.3"/>
  <cols>
    <col min="1" max="1" width="1" customWidth="1"/>
    <col min="2" max="2" width="182.6640625" style="117" customWidth="1"/>
  </cols>
  <sheetData>
    <row r="2" spans="2:2" ht="21" x14ac:dyDescent="0.3">
      <c r="B2" s="122" t="s">
        <v>119</v>
      </c>
    </row>
    <row r="3" spans="2:2" ht="115.2" x14ac:dyDescent="0.3">
      <c r="B3" s="112" t="s">
        <v>152</v>
      </c>
    </row>
    <row r="4" spans="2:2" ht="43.2" x14ac:dyDescent="0.3">
      <c r="B4" s="113" t="s">
        <v>120</v>
      </c>
    </row>
    <row r="5" spans="2:2" ht="28.8" x14ac:dyDescent="0.3">
      <c r="B5" s="113" t="s">
        <v>132</v>
      </c>
    </row>
    <row r="6" spans="2:2" ht="100.8" x14ac:dyDescent="0.3">
      <c r="B6" s="113" t="s">
        <v>121</v>
      </c>
    </row>
    <row r="7" spans="2:2" ht="43.2" x14ac:dyDescent="0.3">
      <c r="B7" s="112" t="s">
        <v>140</v>
      </c>
    </row>
    <row r="8" spans="2:2" ht="28.8" x14ac:dyDescent="0.3">
      <c r="B8" s="113" t="s">
        <v>122</v>
      </c>
    </row>
    <row r="9" spans="2:2" x14ac:dyDescent="0.3">
      <c r="B9" s="113" t="s">
        <v>123</v>
      </c>
    </row>
    <row r="10" spans="2:2" ht="57.6" x14ac:dyDescent="0.3">
      <c r="B10" s="123" t="s">
        <v>124</v>
      </c>
    </row>
    <row r="11" spans="2:2" x14ac:dyDescent="0.3">
      <c r="B11" s="112" t="s">
        <v>133</v>
      </c>
    </row>
    <row r="12" spans="2:2" x14ac:dyDescent="0.3">
      <c r="B12" s="113" t="s">
        <v>125</v>
      </c>
    </row>
    <row r="13" spans="2:2" ht="43.2" x14ac:dyDescent="0.3">
      <c r="B13" s="112" t="s">
        <v>134</v>
      </c>
    </row>
    <row r="14" spans="2:2" x14ac:dyDescent="0.3">
      <c r="B14" s="124" t="s">
        <v>126</v>
      </c>
    </row>
    <row r="15" spans="2:2" x14ac:dyDescent="0.3">
      <c r="B15" s="114" t="s">
        <v>127</v>
      </c>
    </row>
    <row r="16" spans="2:2" x14ac:dyDescent="0.3">
      <c r="B16" s="114" t="s">
        <v>128</v>
      </c>
    </row>
    <row r="17" spans="2:2" ht="162" customHeight="1" x14ac:dyDescent="0.3">
      <c r="B17" s="125" t="s">
        <v>129</v>
      </c>
    </row>
    <row r="18" spans="2:2" x14ac:dyDescent="0.3">
      <c r="B18" s="115" t="s">
        <v>130</v>
      </c>
    </row>
    <row r="19" spans="2:2" x14ac:dyDescent="0.3">
      <c r="B19" s="116" t="s">
        <v>131</v>
      </c>
    </row>
    <row r="21" spans="2:2" ht="21" x14ac:dyDescent="0.3">
      <c r="B21" s="122" t="s">
        <v>135</v>
      </c>
    </row>
    <row r="22" spans="2:2" x14ac:dyDescent="0.3">
      <c r="B22" s="118" t="s">
        <v>136</v>
      </c>
    </row>
    <row r="23" spans="2:2" ht="100.8" x14ac:dyDescent="0.3">
      <c r="B23" s="119" t="s">
        <v>137</v>
      </c>
    </row>
    <row r="24" spans="2:2" ht="43.2" x14ac:dyDescent="0.3">
      <c r="B24" s="120" t="s">
        <v>138</v>
      </c>
    </row>
    <row r="25" spans="2:2" ht="172.8" x14ac:dyDescent="0.3">
      <c r="B25" s="121" t="s">
        <v>139</v>
      </c>
    </row>
  </sheetData>
  <hyperlinks>
    <hyperlink ref="B19" r:id="rId1" xr:uid="{E4D61536-4602-4B34-801E-E513C56FA27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9"/>
  <sheetViews>
    <sheetView showGridLines="0" tabSelected="1" zoomScaleNormal="100" workbookViewId="0">
      <pane xSplit="3" ySplit="12" topLeftCell="S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6640625" style="4" customWidth="1"/>
    <col min="2" max="2" width="37.77734375" style="4" customWidth="1"/>
    <col min="3" max="3" width="10.6640625" style="4" customWidth="1"/>
    <col min="4" max="5" width="11.44140625" style="3" hidden="1" customWidth="1" outlineLevel="1"/>
    <col min="6" max="7" width="11.44140625" style="11" hidden="1" customWidth="1" outlineLevel="1"/>
    <col min="8" max="8" width="11.44140625" style="11" customWidth="1" collapsed="1"/>
    <col min="9" max="10" width="11.44140625" style="3" hidden="1" customWidth="1" outlineLevel="1"/>
    <col min="11" max="12" width="11.44140625" style="11" hidden="1" customWidth="1" outlineLevel="1"/>
    <col min="13" max="13" width="11.44140625" style="11" customWidth="1" collapsed="1"/>
    <col min="14" max="15" width="11.44140625" style="3" hidden="1" customWidth="1" outlineLevel="1"/>
    <col min="16" max="17" width="11.44140625" style="11" hidden="1" customWidth="1" outlineLevel="1"/>
    <col min="18" max="18" width="11.44140625" style="11" customWidth="1" collapsed="1"/>
    <col min="19" max="20" width="11.44140625" style="3" customWidth="1" outlineLevel="1"/>
    <col min="21" max="22" width="11.44140625" style="11" customWidth="1" outlineLevel="1"/>
    <col min="23" max="23" width="11.44140625" style="11" customWidth="1"/>
    <col min="24" max="25" width="11.44140625" style="3" customWidth="1" outlineLevel="1"/>
    <col min="26" max="27" width="11.44140625" style="11" customWidth="1" outlineLevel="1"/>
    <col min="28" max="28" width="11.44140625" style="11" customWidth="1"/>
    <col min="29" max="30" width="11.44140625" style="3" customWidth="1" outlineLevel="1"/>
    <col min="31" max="32" width="11.44140625" style="11" customWidth="1" outlineLevel="1"/>
    <col min="33" max="33" width="11.44140625" style="11" customWidth="1"/>
    <col min="34" max="36" width="8.77734375" style="4"/>
    <col min="37" max="37" width="10.44140625" style="4" bestFit="1" customWidth="1"/>
    <col min="38" max="16384" width="8.77734375" style="4"/>
  </cols>
  <sheetData>
    <row r="1" spans="1:61" ht="9" customHeight="1" x14ac:dyDescent="0.3">
      <c r="B1" s="126" t="s">
        <v>15</v>
      </c>
    </row>
    <row r="2" spans="1:61" ht="59.25" customHeight="1" x14ac:dyDescent="0.3">
      <c r="B2" s="212" t="s">
        <v>14</v>
      </c>
      <c r="C2" s="213"/>
      <c r="K2" s="12"/>
    </row>
    <row r="3" spans="1:61" x14ac:dyDescent="0.3">
      <c r="B3" s="224" t="s">
        <v>154</v>
      </c>
      <c r="C3" s="225"/>
      <c r="D3" s="13"/>
      <c r="G3" s="14"/>
      <c r="H3" s="14"/>
    </row>
    <row r="4" spans="1:61" x14ac:dyDescent="0.3">
      <c r="B4" s="226" t="s">
        <v>155</v>
      </c>
      <c r="C4" s="227"/>
      <c r="D4" s="13"/>
      <c r="G4" s="14"/>
      <c r="H4" s="14"/>
      <c r="BI4" s="4" t="s">
        <v>15</v>
      </c>
    </row>
    <row r="5" spans="1:61" x14ac:dyDescent="0.3">
      <c r="B5" s="228" t="s">
        <v>156</v>
      </c>
      <c r="C5" s="229"/>
      <c r="D5" s="15"/>
      <c r="E5" s="13"/>
      <c r="F5" s="13"/>
      <c r="G5" s="14"/>
      <c r="H5" s="14"/>
      <c r="I5" s="14"/>
      <c r="J5" s="14"/>
      <c r="K5" s="14"/>
      <c r="L5" s="14"/>
      <c r="M5" s="13"/>
      <c r="N5" s="13"/>
      <c r="O5" s="13"/>
      <c r="P5" s="13"/>
      <c r="Q5" s="13"/>
      <c r="R5" s="13"/>
      <c r="S5" s="13"/>
      <c r="T5" s="13"/>
      <c r="U5" s="13"/>
    </row>
    <row r="6" spans="1:61" s="137" customFormat="1" ht="14.55" hidden="1" customHeight="1" x14ac:dyDescent="0.3">
      <c r="B6" s="167"/>
      <c r="C6" s="168"/>
      <c r="D6" s="169"/>
      <c r="E6" s="169"/>
      <c r="F6" s="169"/>
      <c r="G6" s="153"/>
      <c r="H6" s="153"/>
      <c r="I6" s="169"/>
      <c r="J6" s="169"/>
      <c r="K6" s="169"/>
      <c r="L6" s="169"/>
      <c r="M6" s="170"/>
      <c r="N6" s="169"/>
      <c r="O6" s="169"/>
      <c r="P6" s="169"/>
      <c r="Q6" s="169"/>
      <c r="R6" s="169"/>
      <c r="S6" s="169"/>
      <c r="T6" s="171"/>
      <c r="U6" s="172"/>
    </row>
    <row r="7" spans="1:61" s="137" customFormat="1" ht="14.55" hidden="1" customHeight="1" x14ac:dyDescent="0.3">
      <c r="B7" s="173"/>
      <c r="C7" s="174"/>
      <c r="D7" s="169"/>
      <c r="E7" s="169"/>
      <c r="F7" s="169"/>
      <c r="G7" s="169"/>
      <c r="H7" s="141"/>
      <c r="I7" s="141"/>
      <c r="J7" s="141"/>
      <c r="K7" s="141"/>
      <c r="L7" s="141"/>
      <c r="M7" s="141"/>
      <c r="N7" s="141"/>
      <c r="O7" s="141"/>
      <c r="P7" s="141"/>
      <c r="Q7" s="141"/>
      <c r="R7" s="141"/>
      <c r="S7" s="141"/>
      <c r="T7" s="171"/>
      <c r="U7" s="172"/>
    </row>
    <row r="8" spans="1:61" s="137" customFormat="1" ht="14.55" hidden="1" customHeight="1" x14ac:dyDescent="0.3">
      <c r="B8" s="173"/>
      <c r="C8" s="175"/>
      <c r="D8" s="169"/>
      <c r="E8" s="169"/>
      <c r="F8" s="152"/>
      <c r="G8" s="169"/>
      <c r="H8" s="141"/>
      <c r="I8" s="141"/>
      <c r="J8" s="141"/>
      <c r="K8" s="141"/>
      <c r="L8" s="141"/>
      <c r="M8" s="141"/>
      <c r="N8" s="141"/>
      <c r="O8" s="176"/>
      <c r="P8" s="141"/>
      <c r="Q8" s="141"/>
      <c r="R8" s="141"/>
      <c r="S8" s="132"/>
      <c r="T8" s="171"/>
      <c r="U8" s="177"/>
    </row>
    <row r="9" spans="1:61" s="137" customFormat="1" ht="14.55" hidden="1" customHeight="1" x14ac:dyDescent="0.3">
      <c r="B9" s="178"/>
      <c r="C9" s="179"/>
      <c r="D9" s="169"/>
      <c r="E9" s="169"/>
      <c r="F9" s="152"/>
      <c r="G9" s="169"/>
      <c r="H9" s="143"/>
      <c r="I9" s="143"/>
      <c r="J9" s="143"/>
      <c r="K9" s="143"/>
      <c r="L9" s="143"/>
      <c r="M9" s="143"/>
      <c r="N9" s="143"/>
      <c r="O9" s="143"/>
      <c r="P9" s="143"/>
      <c r="Q9" s="143"/>
      <c r="R9" s="143"/>
      <c r="S9" s="150"/>
      <c r="T9" s="132"/>
      <c r="U9" s="180"/>
    </row>
    <row r="10" spans="1:61" ht="17.55" customHeight="1" x14ac:dyDescent="0.3">
      <c r="B10" s="126" t="s">
        <v>15</v>
      </c>
      <c r="D10" s="17"/>
      <c r="E10" s="17"/>
      <c r="F10" s="17"/>
      <c r="G10" s="17"/>
      <c r="H10" s="18"/>
      <c r="I10" s="17"/>
      <c r="J10" s="17"/>
      <c r="K10" s="17"/>
      <c r="L10" s="17"/>
      <c r="M10" s="17"/>
      <c r="N10" s="17"/>
      <c r="O10" s="17"/>
      <c r="P10" s="17"/>
      <c r="Q10" s="17"/>
      <c r="R10" s="17"/>
      <c r="S10" s="110"/>
      <c r="T10" s="110"/>
      <c r="U10" s="160"/>
    </row>
    <row r="11" spans="1:61" ht="15.6" x14ac:dyDescent="0.3">
      <c r="A11" s="207"/>
      <c r="B11" s="205" t="s">
        <v>74</v>
      </c>
      <c r="C11" s="206"/>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207"/>
      <c r="B12" s="222" t="s">
        <v>3</v>
      </c>
      <c r="C12" s="223"/>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141</v>
      </c>
      <c r="T12" s="27" t="s">
        <v>147</v>
      </c>
      <c r="U12" s="27" t="s">
        <v>148</v>
      </c>
      <c r="V12" s="27" t="s">
        <v>149</v>
      </c>
      <c r="W12" s="80" t="s">
        <v>150</v>
      </c>
      <c r="X12" s="27" t="s">
        <v>151</v>
      </c>
      <c r="Y12" s="25" t="s">
        <v>106</v>
      </c>
      <c r="Z12" s="25" t="s">
        <v>107</v>
      </c>
      <c r="AA12" s="25" t="s">
        <v>108</v>
      </c>
      <c r="AB12" s="82" t="s">
        <v>109</v>
      </c>
      <c r="AC12" s="25" t="s">
        <v>110</v>
      </c>
      <c r="AD12" s="25" t="s">
        <v>111</v>
      </c>
      <c r="AE12" s="25" t="s">
        <v>112</v>
      </c>
      <c r="AF12" s="25" t="s">
        <v>113</v>
      </c>
      <c r="AG12" s="82" t="s">
        <v>114</v>
      </c>
    </row>
    <row r="13" spans="1:61" x14ac:dyDescent="0.3">
      <c r="A13" s="137"/>
      <c r="B13" s="210" t="s">
        <v>19</v>
      </c>
      <c r="C13" s="211"/>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32">
        <v>15077</v>
      </c>
      <c r="T13" s="132">
        <v>16886</v>
      </c>
      <c r="U13" s="132">
        <v>17652</v>
      </c>
      <c r="V13" s="132">
        <f>70697-U13-T13-S13</f>
        <v>21082</v>
      </c>
      <c r="W13" s="127">
        <f>SUM(S13:V13)</f>
        <v>70697</v>
      </c>
      <c r="X13" s="132">
        <v>17737</v>
      </c>
      <c r="Y13" s="132">
        <f t="shared" ref="Y13:AA13" si="0">+Y40</f>
        <v>19065.418279000001</v>
      </c>
      <c r="Z13" s="132">
        <f t="shared" si="0"/>
        <v>20591.557049999999</v>
      </c>
      <c r="AA13" s="132">
        <f t="shared" si="0"/>
        <v>24954.327352888133</v>
      </c>
      <c r="AB13" s="127">
        <f>SUM(X13:AA13)</f>
        <v>82348.302681888134</v>
      </c>
      <c r="AC13" s="132">
        <f t="shared" ref="AC13:AF13" si="1">+AC40</f>
        <v>22015.279704643384</v>
      </c>
      <c r="AD13" s="132">
        <f t="shared" si="1"/>
        <v>23600.672854660501</v>
      </c>
      <c r="AE13" s="132">
        <f t="shared" si="1"/>
        <v>25287.916546050001</v>
      </c>
      <c r="AF13" s="132">
        <f t="shared" si="1"/>
        <v>30762.41541661858</v>
      </c>
      <c r="AG13" s="127">
        <f>SUM(AC13:AF13)</f>
        <v>101666.28452197247</v>
      </c>
    </row>
    <row r="14" spans="1:61" ht="16.2" x14ac:dyDescent="0.45">
      <c r="A14" s="137"/>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34">
        <v>3307</v>
      </c>
      <c r="U14" s="134">
        <v>3155</v>
      </c>
      <c r="V14" s="134">
        <f>12770-U14-T14-S14</f>
        <v>3492</v>
      </c>
      <c r="W14" s="128">
        <f>SUM(S14:V14)</f>
        <v>12770</v>
      </c>
      <c r="X14" s="134">
        <v>3459</v>
      </c>
      <c r="Y14" s="134">
        <f>+Y13*(1-Y69)</f>
        <v>4003.7378385899997</v>
      </c>
      <c r="Z14" s="134">
        <f>+Z13*(1-Z69)</f>
        <v>4221.269195249999</v>
      </c>
      <c r="AA14" s="134">
        <f>+AA13*(1-AA69)</f>
        <v>4741.3221970487439</v>
      </c>
      <c r="AB14" s="128">
        <f>SUM(X14:AA14)</f>
        <v>16425.329230888743</v>
      </c>
      <c r="AC14" s="34">
        <f>+AC13*(1-AC69)</f>
        <v>4292.9795424054591</v>
      </c>
      <c r="AD14" s="34">
        <f>+AD13*(1-AD69)</f>
        <v>4366.1244781121941</v>
      </c>
      <c r="AE14" s="34">
        <f>+AE13*(1-AE69)</f>
        <v>4678.2645610192512</v>
      </c>
      <c r="AF14" s="34">
        <f>+AF13*(1-AF69)</f>
        <v>5691.0468520744389</v>
      </c>
      <c r="AG14" s="128">
        <f>SUM(AC14:AF14)</f>
        <v>19028.415433611346</v>
      </c>
    </row>
    <row r="15" spans="1:61" s="21" customFormat="1" x14ac:dyDescent="0.3">
      <c r="A15" s="140"/>
      <c r="B15" s="73" t="s">
        <v>66</v>
      </c>
      <c r="C15" s="74"/>
      <c r="D15" s="40">
        <f>+D13-D14</f>
        <v>4544</v>
      </c>
      <c r="E15" s="40">
        <f t="shared" ref="E15:G15" si="2">+E13-E14</f>
        <v>5520</v>
      </c>
      <c r="F15" s="40">
        <f t="shared" si="2"/>
        <v>6024</v>
      </c>
      <c r="G15" s="40">
        <f t="shared" si="2"/>
        <v>7761</v>
      </c>
      <c r="H15" s="41">
        <f>+H13-H14</f>
        <v>23849</v>
      </c>
      <c r="I15" s="40">
        <f>+I13-I14</f>
        <v>6873</v>
      </c>
      <c r="J15" s="40">
        <f t="shared" ref="J15" si="3">+J13-J14</f>
        <v>8084</v>
      </c>
      <c r="K15" s="40">
        <f t="shared" ref="K15" si="4">+K13-K14</f>
        <v>8880</v>
      </c>
      <c r="L15" s="40">
        <f t="shared" ref="L15" si="5">+L13-L14</f>
        <v>11361</v>
      </c>
      <c r="M15" s="41">
        <f>+M13-M14</f>
        <v>35198</v>
      </c>
      <c r="N15" s="40">
        <f>+N13-N14</f>
        <v>10039</v>
      </c>
      <c r="O15" s="40">
        <f t="shared" ref="O15" si="6">+O13-O14</f>
        <v>11017</v>
      </c>
      <c r="P15" s="40">
        <f t="shared" ref="P15" si="7">+P13-P14</f>
        <v>11309</v>
      </c>
      <c r="Q15" s="40">
        <f t="shared" ref="Q15" si="8">+Q13-Q14</f>
        <v>14118</v>
      </c>
      <c r="R15" s="41">
        <f>+R13-R14</f>
        <v>46483</v>
      </c>
      <c r="S15" s="40">
        <f>+S13-S14</f>
        <v>12261</v>
      </c>
      <c r="T15" s="133">
        <f t="shared" ref="T15" si="9">+T13-T14</f>
        <v>13579</v>
      </c>
      <c r="U15" s="40">
        <f t="shared" ref="U15" si="10">+U13-U14</f>
        <v>14497</v>
      </c>
      <c r="V15" s="40">
        <f t="shared" ref="V15" si="11">+V13-V14</f>
        <v>17590</v>
      </c>
      <c r="W15" s="41">
        <f>+W13-W14</f>
        <v>57927</v>
      </c>
      <c r="X15" s="40">
        <f>+X13-X14</f>
        <v>14278</v>
      </c>
      <c r="Y15" s="40">
        <f t="shared" ref="Y15" si="12">+Y13-Y14</f>
        <v>15061.680440410002</v>
      </c>
      <c r="Z15" s="40">
        <f t="shared" ref="Z15" si="13">+Z13-Z14</f>
        <v>16370.28785475</v>
      </c>
      <c r="AA15" s="40">
        <f t="shared" ref="AA15" si="14">+AA13-AA14</f>
        <v>20213.00515583939</v>
      </c>
      <c r="AB15" s="129">
        <f>+AB13-AB14</f>
        <v>65922.973450999387</v>
      </c>
      <c r="AC15" s="40">
        <f>+AC13-AC14</f>
        <v>17722.300162237923</v>
      </c>
      <c r="AD15" s="40">
        <f t="shared" ref="AD15" si="15">+AD13-AD14</f>
        <v>19234.548376548308</v>
      </c>
      <c r="AE15" s="40">
        <f t="shared" ref="AE15" si="16">+AE13-AE14</f>
        <v>20609.651985030749</v>
      </c>
      <c r="AF15" s="40">
        <f t="shared" ref="AF15" si="17">+AF13-AF14</f>
        <v>25071.36856454414</v>
      </c>
      <c r="AG15" s="129">
        <f>+AG13-AG14</f>
        <v>82637.869088361127</v>
      </c>
    </row>
    <row r="16" spans="1:61" x14ac:dyDescent="0.3">
      <c r="A16" s="137"/>
      <c r="B16" s="31" t="s">
        <v>21</v>
      </c>
      <c r="C16" s="71"/>
      <c r="D16" s="14"/>
      <c r="E16" s="14"/>
      <c r="F16" s="14"/>
      <c r="G16" s="14"/>
      <c r="H16" s="30"/>
      <c r="I16" s="14"/>
      <c r="J16" s="14"/>
      <c r="K16" s="14"/>
      <c r="L16" s="14"/>
      <c r="M16" s="30"/>
      <c r="N16" s="14"/>
      <c r="O16" s="14"/>
      <c r="P16" s="14"/>
      <c r="Q16" s="14"/>
      <c r="R16" s="30"/>
      <c r="S16" s="14"/>
      <c r="T16" s="153"/>
      <c r="U16" s="14"/>
      <c r="V16" s="14"/>
      <c r="W16" s="30"/>
      <c r="X16" s="14"/>
      <c r="Y16" s="14"/>
      <c r="Z16" s="14"/>
      <c r="AA16" s="14"/>
      <c r="AB16" s="127"/>
      <c r="AC16" s="14"/>
      <c r="AD16" s="14"/>
      <c r="AE16" s="14"/>
      <c r="AF16" s="14"/>
      <c r="AG16" s="127"/>
    </row>
    <row r="17" spans="1:33" x14ac:dyDescent="0.3">
      <c r="A17" s="137"/>
      <c r="B17" s="75" t="s">
        <v>68</v>
      </c>
      <c r="C17" s="32"/>
      <c r="D17" s="29">
        <v>1343</v>
      </c>
      <c r="E17" s="29">
        <v>1463</v>
      </c>
      <c r="F17" s="29">
        <v>1539</v>
      </c>
      <c r="G17" s="29">
        <f>5919-F17-E17-D17</f>
        <v>1574</v>
      </c>
      <c r="H17" s="30">
        <f t="shared" ref="H17:H19" si="18">SUM(D17:G17)</f>
        <v>5919</v>
      </c>
      <c r="I17" s="29">
        <v>1834</v>
      </c>
      <c r="J17" s="29">
        <v>1919</v>
      </c>
      <c r="K17" s="29">
        <v>2052</v>
      </c>
      <c r="L17" s="29">
        <v>1949</v>
      </c>
      <c r="M17" s="30">
        <f t="shared" ref="M17:M19" si="19">SUM(I17:L17)</f>
        <v>7754</v>
      </c>
      <c r="N17" s="29">
        <v>2238</v>
      </c>
      <c r="O17" s="29">
        <v>2523</v>
      </c>
      <c r="P17" s="29">
        <v>2657</v>
      </c>
      <c r="Q17" s="29">
        <v>2855</v>
      </c>
      <c r="R17" s="30">
        <f t="shared" ref="R17:R19" si="20">SUM(N17:Q17)</f>
        <v>10273</v>
      </c>
      <c r="S17" s="29">
        <v>2860</v>
      </c>
      <c r="T17" s="132">
        <v>3315</v>
      </c>
      <c r="U17" s="29">
        <v>3548</v>
      </c>
      <c r="V17" s="29">
        <f>13600-U17-T17-S17</f>
        <v>3877</v>
      </c>
      <c r="W17" s="30">
        <f t="shared" ref="W17:W19" si="21">SUM(S17:V17)</f>
        <v>13600</v>
      </c>
      <c r="X17" s="29">
        <v>4015</v>
      </c>
      <c r="Y17" s="29">
        <f>+Y13*Y70</f>
        <v>4575.7003869600003</v>
      </c>
      <c r="Z17" s="29">
        <f>+Z13*Z70</f>
        <v>4839.0159067499999</v>
      </c>
      <c r="AA17" s="29">
        <f>+AA13*AA70</f>
        <v>5489.952017635389</v>
      </c>
      <c r="AB17" s="127">
        <f t="shared" ref="AB17:AB19" si="22">SUM(X17:AA17)</f>
        <v>18919.668311345391</v>
      </c>
      <c r="AC17" s="29">
        <f>+AC13*AC70</f>
        <v>5173.5907305911951</v>
      </c>
      <c r="AD17" s="29">
        <f>+AD13*AD70</f>
        <v>5192.1480280253099</v>
      </c>
      <c r="AE17" s="29">
        <f>+AE13*AE70</f>
        <v>5563.3416401310005</v>
      </c>
      <c r="AF17" s="29">
        <f>+AF13*AF70</f>
        <v>6767.7313916560879</v>
      </c>
      <c r="AG17" s="127">
        <f t="shared" ref="AG17:AG19" si="23">SUM(AC17:AF17)</f>
        <v>22696.811790403593</v>
      </c>
    </row>
    <row r="18" spans="1:33" x14ac:dyDescent="0.3">
      <c r="A18" s="137"/>
      <c r="B18" s="75" t="s">
        <v>69</v>
      </c>
      <c r="C18" s="32"/>
      <c r="D18" s="29">
        <v>826</v>
      </c>
      <c r="E18" s="29">
        <v>899</v>
      </c>
      <c r="F18" s="29">
        <v>925</v>
      </c>
      <c r="G18" s="29">
        <f>3772-F18-E18-D18</f>
        <v>1122</v>
      </c>
      <c r="H18" s="30">
        <f t="shared" si="18"/>
        <v>3772</v>
      </c>
      <c r="I18" s="29">
        <v>1057</v>
      </c>
      <c r="J18" s="29">
        <v>1124</v>
      </c>
      <c r="K18" s="29">
        <v>1170</v>
      </c>
      <c r="L18" s="29">
        <v>1374</v>
      </c>
      <c r="M18" s="30">
        <f t="shared" si="19"/>
        <v>4725</v>
      </c>
      <c r="N18" s="29">
        <v>1595</v>
      </c>
      <c r="O18" s="29">
        <v>1855</v>
      </c>
      <c r="P18" s="29">
        <v>1928</v>
      </c>
      <c r="Q18" s="29">
        <v>2467</v>
      </c>
      <c r="R18" s="30">
        <f t="shared" si="20"/>
        <v>7845</v>
      </c>
      <c r="S18" s="29">
        <v>2020</v>
      </c>
      <c r="T18" s="132">
        <v>2414</v>
      </c>
      <c r="U18" s="29">
        <v>2416</v>
      </c>
      <c r="V18" s="29">
        <f>9876-U18-T18-S18</f>
        <v>3026</v>
      </c>
      <c r="W18" s="30">
        <f t="shared" si="21"/>
        <v>9876</v>
      </c>
      <c r="X18" s="29">
        <v>2787</v>
      </c>
      <c r="Y18" s="29">
        <f>+Y13*Y71</f>
        <v>3241.1211074300004</v>
      </c>
      <c r="Z18" s="29">
        <f>+Z13*Z71</f>
        <v>3397.6069132500002</v>
      </c>
      <c r="AA18" s="29">
        <f>+AA13*AA71</f>
        <v>3743.1491029332196</v>
      </c>
      <c r="AB18" s="127">
        <f t="shared" si="22"/>
        <v>13168.87712361322</v>
      </c>
      <c r="AC18" s="29">
        <f>+AC13*AC71</f>
        <v>3610.5058715615151</v>
      </c>
      <c r="AD18" s="29">
        <f>+AD13*AD71</f>
        <v>3776.1076567456803</v>
      </c>
      <c r="AE18" s="29">
        <f>+AE13*AE71</f>
        <v>4046.0666473680003</v>
      </c>
      <c r="AF18" s="29">
        <f>+AF13*AF71</f>
        <v>4921.9864666589729</v>
      </c>
      <c r="AG18" s="127">
        <f t="shared" si="23"/>
        <v>16354.666642334169</v>
      </c>
    </row>
    <row r="19" spans="1:33" ht="17.25" customHeight="1" x14ac:dyDescent="0.45">
      <c r="A19" s="137"/>
      <c r="B19" s="75" t="s">
        <v>70</v>
      </c>
      <c r="C19" s="32"/>
      <c r="D19" s="34">
        <v>366</v>
      </c>
      <c r="E19" s="34">
        <v>412</v>
      </c>
      <c r="F19" s="34">
        <v>438</v>
      </c>
      <c r="G19" s="34">
        <f>1731-F19-E19-D19</f>
        <v>515</v>
      </c>
      <c r="H19" s="35">
        <f t="shared" si="18"/>
        <v>1731</v>
      </c>
      <c r="I19" s="34">
        <v>655</v>
      </c>
      <c r="J19" s="34">
        <v>640</v>
      </c>
      <c r="K19" s="34">
        <v>536</v>
      </c>
      <c r="L19" s="34">
        <v>686</v>
      </c>
      <c r="M19" s="35">
        <f t="shared" si="19"/>
        <v>2517</v>
      </c>
      <c r="N19" s="34">
        <v>757</v>
      </c>
      <c r="O19" s="34">
        <v>776</v>
      </c>
      <c r="P19" s="34">
        <v>943</v>
      </c>
      <c r="Q19" s="34">
        <v>976</v>
      </c>
      <c r="R19" s="35">
        <f t="shared" si="20"/>
        <v>3452</v>
      </c>
      <c r="S19" s="134">
        <v>4064</v>
      </c>
      <c r="T19" s="134">
        <v>3224</v>
      </c>
      <c r="U19" s="34">
        <v>1348</v>
      </c>
      <c r="V19" s="34">
        <f>10465-U19-T19-S19</f>
        <v>1829</v>
      </c>
      <c r="W19" s="35">
        <f t="shared" si="21"/>
        <v>10465</v>
      </c>
      <c r="X19" s="34">
        <v>1583</v>
      </c>
      <c r="Y19" s="34">
        <f>Y13*Y72</f>
        <v>1715.88764511</v>
      </c>
      <c r="Z19" s="34">
        <f>Z13*Z72</f>
        <v>1832.6485774499999</v>
      </c>
      <c r="AA19" s="34">
        <f>AA13*AA72</f>
        <v>1971.3918608781626</v>
      </c>
      <c r="AB19" s="128">
        <f t="shared" si="22"/>
        <v>7102.9280834381625</v>
      </c>
      <c r="AC19" s="34">
        <f>AC13*AC72</f>
        <v>1981.3751734179045</v>
      </c>
      <c r="AD19" s="34">
        <f>AD13*AD72</f>
        <v>1888.0538283728401</v>
      </c>
      <c r="AE19" s="34">
        <f>AE13*AE72</f>
        <v>2023.0333236840002</v>
      </c>
      <c r="AF19" s="34">
        <f>AF13*AF72</f>
        <v>2276.4187408297748</v>
      </c>
      <c r="AG19" s="128">
        <f t="shared" si="23"/>
        <v>8168.8810663045197</v>
      </c>
    </row>
    <row r="20" spans="1:33" s="39" customFormat="1" ht="17.25" customHeight="1" x14ac:dyDescent="0.45">
      <c r="A20" s="162"/>
      <c r="B20" s="90" t="s">
        <v>11</v>
      </c>
      <c r="C20" s="36"/>
      <c r="D20" s="37">
        <f t="shared" ref="D20:AG20" si="24">SUM(D17:D19)</f>
        <v>2535</v>
      </c>
      <c r="E20" s="37">
        <f t="shared" si="24"/>
        <v>2774</v>
      </c>
      <c r="F20" s="37">
        <f t="shared" si="24"/>
        <v>2902</v>
      </c>
      <c r="G20" s="37">
        <f t="shared" si="24"/>
        <v>3211</v>
      </c>
      <c r="H20" s="38">
        <f t="shared" si="24"/>
        <v>11422</v>
      </c>
      <c r="I20" s="37">
        <f t="shared" si="24"/>
        <v>3546</v>
      </c>
      <c r="J20" s="37">
        <f t="shared" si="24"/>
        <v>3683</v>
      </c>
      <c r="K20" s="37">
        <f t="shared" si="24"/>
        <v>3758</v>
      </c>
      <c r="L20" s="37">
        <f t="shared" si="24"/>
        <v>4009</v>
      </c>
      <c r="M20" s="38">
        <f t="shared" si="24"/>
        <v>14996</v>
      </c>
      <c r="N20" s="37">
        <f t="shared" si="24"/>
        <v>4590</v>
      </c>
      <c r="O20" s="37">
        <f t="shared" si="24"/>
        <v>5154</v>
      </c>
      <c r="P20" s="37">
        <f t="shared" si="24"/>
        <v>5528</v>
      </c>
      <c r="Q20" s="37">
        <f t="shared" si="24"/>
        <v>6298</v>
      </c>
      <c r="R20" s="38">
        <f t="shared" si="24"/>
        <v>21570</v>
      </c>
      <c r="S20" s="37">
        <f t="shared" si="24"/>
        <v>8944</v>
      </c>
      <c r="T20" s="154">
        <f t="shared" si="24"/>
        <v>8953</v>
      </c>
      <c r="U20" s="37">
        <f t="shared" si="24"/>
        <v>7312</v>
      </c>
      <c r="V20" s="37">
        <f t="shared" si="24"/>
        <v>8732</v>
      </c>
      <c r="W20" s="38">
        <f t="shared" si="24"/>
        <v>33941</v>
      </c>
      <c r="X20" s="37">
        <f t="shared" si="24"/>
        <v>8385</v>
      </c>
      <c r="Y20" s="37">
        <f t="shared" si="24"/>
        <v>9532.7091395000007</v>
      </c>
      <c r="Z20" s="37">
        <f t="shared" si="24"/>
        <v>10069.27139745</v>
      </c>
      <c r="AA20" s="37">
        <f t="shared" si="24"/>
        <v>11204.492981446771</v>
      </c>
      <c r="AB20" s="130">
        <f t="shared" si="24"/>
        <v>39191.473518396771</v>
      </c>
      <c r="AC20" s="37">
        <f t="shared" si="24"/>
        <v>10765.471775570613</v>
      </c>
      <c r="AD20" s="37">
        <f t="shared" si="24"/>
        <v>10856.309513143829</v>
      </c>
      <c r="AE20" s="37">
        <f t="shared" si="24"/>
        <v>11632.441611183001</v>
      </c>
      <c r="AF20" s="37">
        <f t="shared" si="24"/>
        <v>13966.136599144835</v>
      </c>
      <c r="AG20" s="130">
        <f t="shared" si="24"/>
        <v>47220.359499042286</v>
      </c>
    </row>
    <row r="21" spans="1:33" x14ac:dyDescent="0.3">
      <c r="A21" s="137"/>
      <c r="B21" s="90" t="s">
        <v>22</v>
      </c>
      <c r="C21" s="33"/>
      <c r="D21" s="40">
        <f>D15-D20</f>
        <v>2009</v>
      </c>
      <c r="E21" s="40">
        <f t="shared" ref="E21:F21" si="25">E15-E20</f>
        <v>2746</v>
      </c>
      <c r="F21" s="40">
        <f t="shared" si="25"/>
        <v>3122</v>
      </c>
      <c r="G21" s="40">
        <f>G15-G20</f>
        <v>4550</v>
      </c>
      <c r="H21" s="41">
        <f>H15-H20</f>
        <v>12427</v>
      </c>
      <c r="I21" s="40">
        <f>I15-I20</f>
        <v>3327</v>
      </c>
      <c r="J21" s="40">
        <f t="shared" ref="J21" si="26">J15-J20</f>
        <v>4401</v>
      </c>
      <c r="K21" s="40">
        <f t="shared" ref="K21" si="27">K15-K20</f>
        <v>5122</v>
      </c>
      <c r="L21" s="40">
        <f>L15-L20</f>
        <v>7352</v>
      </c>
      <c r="M21" s="41">
        <f>M15-M20</f>
        <v>20202</v>
      </c>
      <c r="N21" s="40">
        <f>N15-N20</f>
        <v>5449</v>
      </c>
      <c r="O21" s="40">
        <f t="shared" ref="O21" si="28">O15-O20</f>
        <v>5863</v>
      </c>
      <c r="P21" s="40">
        <f t="shared" ref="P21" si="29">P15-P20</f>
        <v>5781</v>
      </c>
      <c r="Q21" s="40">
        <f>Q15-Q20</f>
        <v>7820</v>
      </c>
      <c r="R21" s="41">
        <f>R15-R20</f>
        <v>24913</v>
      </c>
      <c r="S21" s="133">
        <f>S15-S20</f>
        <v>3317</v>
      </c>
      <c r="T21" s="133">
        <f t="shared" ref="T21" si="30">T15-T20</f>
        <v>4626</v>
      </c>
      <c r="U21" s="133">
        <f t="shared" ref="U21" si="31">U15-U20</f>
        <v>7185</v>
      </c>
      <c r="V21" s="133">
        <f>V15-V20</f>
        <v>8858</v>
      </c>
      <c r="W21" s="41">
        <f>W15-W20</f>
        <v>23986</v>
      </c>
      <c r="X21" s="40">
        <f>X15-X20</f>
        <v>5893</v>
      </c>
      <c r="Y21" s="40">
        <f t="shared" ref="Y21" si="32">Y15-Y20</f>
        <v>5528.9713009100014</v>
      </c>
      <c r="Z21" s="40">
        <f t="shared" ref="Z21" si="33">Z15-Z20</f>
        <v>6301.0164573000002</v>
      </c>
      <c r="AA21" s="40">
        <f>AA15-AA20</f>
        <v>9008.5121743926193</v>
      </c>
      <c r="AB21" s="129">
        <f>AB15-AB20</f>
        <v>26731.499932602615</v>
      </c>
      <c r="AC21" s="40">
        <f>AC15-AC20</f>
        <v>6956.82838666731</v>
      </c>
      <c r="AD21" s="40">
        <f t="shared" ref="AD21" si="34">AD15-AD20</f>
        <v>8378.2388634044783</v>
      </c>
      <c r="AE21" s="40">
        <f t="shared" ref="AE21" si="35">AE15-AE20</f>
        <v>8977.2103738477472</v>
      </c>
      <c r="AF21" s="40">
        <f>AF15-AF20</f>
        <v>11105.231965399305</v>
      </c>
      <c r="AG21" s="129">
        <f>AG15-AG20</f>
        <v>35417.509589318841</v>
      </c>
    </row>
    <row r="22" spans="1:33" ht="16.2" x14ac:dyDescent="0.45">
      <c r="A22" s="137"/>
      <c r="B22" s="70" t="s">
        <v>71</v>
      </c>
      <c r="C22" s="69"/>
      <c r="D22" s="34">
        <v>56</v>
      </c>
      <c r="E22" s="34">
        <v>20</v>
      </c>
      <c r="F22" s="34">
        <v>47</v>
      </c>
      <c r="G22" s="34">
        <v>-32</v>
      </c>
      <c r="H22" s="35">
        <f t="shared" ref="H22" si="36">SUM(D22:G22)</f>
        <v>91</v>
      </c>
      <c r="I22" s="34">
        <v>81</v>
      </c>
      <c r="J22" s="34">
        <v>87</v>
      </c>
      <c r="K22" s="34">
        <v>114</v>
      </c>
      <c r="L22" s="34">
        <v>110</v>
      </c>
      <c r="M22" s="35">
        <f t="shared" ref="M22" si="37">SUM(I22:L22)</f>
        <v>392</v>
      </c>
      <c r="N22" s="34">
        <v>161</v>
      </c>
      <c r="O22" s="34">
        <v>5</v>
      </c>
      <c r="P22" s="34">
        <v>131</v>
      </c>
      <c r="Q22" s="34">
        <v>151</v>
      </c>
      <c r="R22" s="35">
        <f t="shared" ref="R22" si="38">SUM(N22:Q22)</f>
        <v>448</v>
      </c>
      <c r="S22" s="134">
        <v>165</v>
      </c>
      <c r="T22" s="134">
        <v>206</v>
      </c>
      <c r="U22" s="134">
        <v>144</v>
      </c>
      <c r="V22" s="134">
        <f>826-U22-T22-S22</f>
        <v>311</v>
      </c>
      <c r="W22" s="35">
        <f t="shared" ref="W22" si="39">SUM(S22:V22)</f>
        <v>826</v>
      </c>
      <c r="X22" s="134">
        <v>-32</v>
      </c>
      <c r="Y22" s="57">
        <f>AVERAGE(X22,V22,U22,T22)</f>
        <v>157.25</v>
      </c>
      <c r="Z22" s="57">
        <f>AVERAGE(Y22,X22,V22,U22)</f>
        <v>145.0625</v>
      </c>
      <c r="AA22" s="57">
        <f>AVERAGE(Z22,Y22,X22,V22)</f>
        <v>145.328125</v>
      </c>
      <c r="AB22" s="128">
        <f t="shared" ref="AB22" si="40">SUM(X22:AA22)</f>
        <v>415.640625</v>
      </c>
      <c r="AC22" s="57">
        <f>AVERAGE(AA22,Z22,Y22,X22)</f>
        <v>103.91015625</v>
      </c>
      <c r="AD22" s="57">
        <f>AVERAGE(AC22,AA22,Z22,Y22)</f>
        <v>137.8876953125</v>
      </c>
      <c r="AE22" s="57">
        <f>AVERAGE(AD22,AC22,AA22,Z22)</f>
        <v>133.047119140625</v>
      </c>
      <c r="AF22" s="57">
        <f>AVERAGE(AE22,AD22,AC22,AA22)</f>
        <v>130.04327392578125</v>
      </c>
      <c r="AG22" s="128">
        <f t="shared" ref="AG22" si="41">SUM(AC22:AF22)</f>
        <v>504.88824462890625</v>
      </c>
    </row>
    <row r="23" spans="1:33" x14ac:dyDescent="0.3">
      <c r="A23" s="137"/>
      <c r="B23" s="216" t="s">
        <v>23</v>
      </c>
      <c r="C23" s="217"/>
      <c r="D23" s="40">
        <f t="shared" ref="D23:AG23" si="42">D21+D22</f>
        <v>2065</v>
      </c>
      <c r="E23" s="40">
        <f t="shared" si="42"/>
        <v>2766</v>
      </c>
      <c r="F23" s="40">
        <f t="shared" si="42"/>
        <v>3169</v>
      </c>
      <c r="G23" s="40">
        <f t="shared" si="42"/>
        <v>4518</v>
      </c>
      <c r="H23" s="41">
        <f t="shared" si="42"/>
        <v>12518</v>
      </c>
      <c r="I23" s="40">
        <f t="shared" si="42"/>
        <v>3408</v>
      </c>
      <c r="J23" s="40">
        <f t="shared" si="42"/>
        <v>4488</v>
      </c>
      <c r="K23" s="40">
        <f t="shared" si="42"/>
        <v>5236</v>
      </c>
      <c r="L23" s="40">
        <f t="shared" si="42"/>
        <v>7462</v>
      </c>
      <c r="M23" s="41">
        <f t="shared" si="42"/>
        <v>20594</v>
      </c>
      <c r="N23" s="40">
        <f t="shared" si="42"/>
        <v>5610</v>
      </c>
      <c r="O23" s="40">
        <f t="shared" si="42"/>
        <v>5868</v>
      </c>
      <c r="P23" s="40">
        <f t="shared" si="42"/>
        <v>5912</v>
      </c>
      <c r="Q23" s="40">
        <f t="shared" si="42"/>
        <v>7971</v>
      </c>
      <c r="R23" s="41">
        <f t="shared" si="42"/>
        <v>25361</v>
      </c>
      <c r="S23" s="133">
        <f t="shared" si="42"/>
        <v>3482</v>
      </c>
      <c r="T23" s="133">
        <f t="shared" si="42"/>
        <v>4832</v>
      </c>
      <c r="U23" s="40">
        <f t="shared" si="42"/>
        <v>7329</v>
      </c>
      <c r="V23" s="40">
        <f>V21+V22</f>
        <v>9169</v>
      </c>
      <c r="W23" s="41">
        <f t="shared" si="42"/>
        <v>24812</v>
      </c>
      <c r="X23" s="133">
        <f t="shared" si="42"/>
        <v>5861</v>
      </c>
      <c r="Y23" s="40">
        <f t="shared" si="42"/>
        <v>5686.2213009100014</v>
      </c>
      <c r="Z23" s="40">
        <f t="shared" si="42"/>
        <v>6446.0789573000002</v>
      </c>
      <c r="AA23" s="40">
        <f t="shared" si="42"/>
        <v>9153.8402993926193</v>
      </c>
      <c r="AB23" s="129">
        <f t="shared" si="42"/>
        <v>27147.140557602615</v>
      </c>
      <c r="AC23" s="40">
        <f t="shared" si="42"/>
        <v>7060.73854291731</v>
      </c>
      <c r="AD23" s="40">
        <f t="shared" si="42"/>
        <v>8516.1265587169783</v>
      </c>
      <c r="AE23" s="40">
        <f t="shared" si="42"/>
        <v>9110.2574929883722</v>
      </c>
      <c r="AF23" s="40">
        <f t="shared" si="42"/>
        <v>11235.275239325087</v>
      </c>
      <c r="AG23" s="129">
        <f t="shared" si="42"/>
        <v>35922.397833947747</v>
      </c>
    </row>
    <row r="24" spans="1:33" ht="16.2" x14ac:dyDescent="0.45">
      <c r="A24" s="137"/>
      <c r="B24" s="210" t="s">
        <v>7</v>
      </c>
      <c r="C24" s="211"/>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34">
        <v>-1053</v>
      </c>
      <c r="T24" s="134">
        <v>-2216</v>
      </c>
      <c r="U24" s="34">
        <v>-1238</v>
      </c>
      <c r="V24" s="34">
        <f>-6327-U24-T24-S24</f>
        <v>-1820</v>
      </c>
      <c r="W24" s="35">
        <f>SUM(S24:V24)</f>
        <v>-6327</v>
      </c>
      <c r="X24" s="134">
        <v>-959</v>
      </c>
      <c r="Y24" s="34">
        <f>+Y23*-Y76</f>
        <v>-1023.5198341638002</v>
      </c>
      <c r="Z24" s="34">
        <f>+Z23*-Z76</f>
        <v>-1160.2942123139999</v>
      </c>
      <c r="AA24" s="34">
        <f>+AA23*-AA76</f>
        <v>-1647.6912538906713</v>
      </c>
      <c r="AB24" s="128">
        <f>SUM(X24:AA24)</f>
        <v>-4790.5053003684716</v>
      </c>
      <c r="AC24" s="34">
        <f>+AC23*-AC76</f>
        <v>-1242.0261946203041</v>
      </c>
      <c r="AD24" s="34">
        <f>+AD23*-AD76</f>
        <v>-1545.2027727747711</v>
      </c>
      <c r="AE24" s="34">
        <f>+AE23*-AE76</f>
        <v>-1656.2939812653256</v>
      </c>
      <c r="AF24" s="34">
        <f>+AF23*-AF76</f>
        <v>-2047.7047098538576</v>
      </c>
      <c r="AG24" s="128">
        <f>SUM(AC24:AF24)</f>
        <v>-6491.227658514259</v>
      </c>
    </row>
    <row r="25" spans="1:33" x14ac:dyDescent="0.3">
      <c r="A25" s="144"/>
      <c r="B25" s="216" t="s">
        <v>8</v>
      </c>
      <c r="C25" s="217"/>
      <c r="D25" s="40">
        <f t="shared" ref="D25:AG25" si="43">+D23+D24</f>
        <v>1510</v>
      </c>
      <c r="E25" s="40">
        <f t="shared" si="43"/>
        <v>2055</v>
      </c>
      <c r="F25" s="40">
        <f t="shared" si="43"/>
        <v>2379</v>
      </c>
      <c r="G25" s="40">
        <f t="shared" si="43"/>
        <v>4273</v>
      </c>
      <c r="H25" s="41">
        <f t="shared" si="43"/>
        <v>10217</v>
      </c>
      <c r="I25" s="40">
        <f t="shared" si="43"/>
        <v>3064</v>
      </c>
      <c r="J25" s="40">
        <f t="shared" si="43"/>
        <v>3894</v>
      </c>
      <c r="K25" s="40">
        <f t="shared" si="43"/>
        <v>4707</v>
      </c>
      <c r="L25" s="40">
        <f t="shared" si="43"/>
        <v>4268</v>
      </c>
      <c r="M25" s="41">
        <f t="shared" si="43"/>
        <v>15933</v>
      </c>
      <c r="N25" s="40">
        <f t="shared" si="43"/>
        <v>4988</v>
      </c>
      <c r="O25" s="40">
        <f t="shared" si="43"/>
        <v>5106</v>
      </c>
      <c r="P25" s="40">
        <f t="shared" si="43"/>
        <v>5137</v>
      </c>
      <c r="Q25" s="40">
        <f t="shared" si="43"/>
        <v>6882</v>
      </c>
      <c r="R25" s="41">
        <f t="shared" si="43"/>
        <v>22113</v>
      </c>
      <c r="S25" s="133">
        <f t="shared" si="43"/>
        <v>2429</v>
      </c>
      <c r="T25" s="133">
        <f t="shared" si="43"/>
        <v>2616</v>
      </c>
      <c r="U25" s="40">
        <f t="shared" si="43"/>
        <v>6091</v>
      </c>
      <c r="V25" s="40">
        <f t="shared" si="43"/>
        <v>7349</v>
      </c>
      <c r="W25" s="41">
        <f t="shared" si="43"/>
        <v>18485</v>
      </c>
      <c r="X25" s="133">
        <f t="shared" si="43"/>
        <v>4902</v>
      </c>
      <c r="Y25" s="40">
        <f t="shared" si="43"/>
        <v>4662.7014667462008</v>
      </c>
      <c r="Z25" s="40">
        <f t="shared" si="43"/>
        <v>5285.7847449860001</v>
      </c>
      <c r="AA25" s="40">
        <f t="shared" si="43"/>
        <v>7506.1490455019484</v>
      </c>
      <c r="AB25" s="129">
        <f t="shared" si="43"/>
        <v>22356.635257234142</v>
      </c>
      <c r="AC25" s="40">
        <f t="shared" si="43"/>
        <v>5818.7123482970055</v>
      </c>
      <c r="AD25" s="40">
        <f t="shared" si="43"/>
        <v>6970.9237859422074</v>
      </c>
      <c r="AE25" s="40">
        <f t="shared" si="43"/>
        <v>7453.9635117230464</v>
      </c>
      <c r="AF25" s="40">
        <f t="shared" si="43"/>
        <v>9187.5705294712297</v>
      </c>
      <c r="AG25" s="129">
        <f t="shared" si="43"/>
        <v>29431.170175433486</v>
      </c>
    </row>
    <row r="26" spans="1:33" ht="16.2" x14ac:dyDescent="0.45">
      <c r="A26" s="144"/>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34">
        <v>0</v>
      </c>
      <c r="T26" s="134">
        <v>0</v>
      </c>
      <c r="U26" s="134">
        <v>0</v>
      </c>
      <c r="V26" s="134">
        <f>0-U26-T26-S26</f>
        <v>0</v>
      </c>
      <c r="W26" s="35">
        <f>SUM(S26:V26)</f>
        <v>0</v>
      </c>
      <c r="X26" s="134">
        <v>0</v>
      </c>
      <c r="Y26" s="134">
        <v>0</v>
      </c>
      <c r="Z26" s="134">
        <v>0</v>
      </c>
      <c r="AA26" s="134">
        <v>0</v>
      </c>
      <c r="AB26" s="128">
        <f>SUM(X26:AA26)</f>
        <v>0</v>
      </c>
      <c r="AC26" s="134">
        <v>0</v>
      </c>
      <c r="AD26" s="134">
        <v>0</v>
      </c>
      <c r="AE26" s="134">
        <v>0</v>
      </c>
      <c r="AF26" s="134">
        <v>0</v>
      </c>
      <c r="AG26" s="128">
        <f>SUM(AC26:AF26)</f>
        <v>0</v>
      </c>
    </row>
    <row r="27" spans="1:33" s="21" customFormat="1" x14ac:dyDescent="0.3">
      <c r="A27" s="162"/>
      <c r="B27" s="78" t="s">
        <v>73</v>
      </c>
      <c r="C27" s="74"/>
      <c r="D27" s="40">
        <f>+D25-D26</f>
        <v>1505</v>
      </c>
      <c r="E27" s="40">
        <f t="shared" ref="E27:G27" si="44">+E25-E26</f>
        <v>2048</v>
      </c>
      <c r="F27" s="40">
        <f t="shared" si="44"/>
        <v>2373</v>
      </c>
      <c r="G27" s="40">
        <f t="shared" si="44"/>
        <v>4266</v>
      </c>
      <c r="H27" s="41">
        <f>+H25-H26</f>
        <v>10192</v>
      </c>
      <c r="I27" s="40">
        <f t="shared" ref="I27:M27" si="45">+I25-I26</f>
        <v>3059</v>
      </c>
      <c r="J27" s="40">
        <f t="shared" si="45"/>
        <v>3890</v>
      </c>
      <c r="K27" s="40">
        <f t="shared" si="45"/>
        <v>4704</v>
      </c>
      <c r="L27" s="40">
        <f t="shared" si="45"/>
        <v>4266</v>
      </c>
      <c r="M27" s="41">
        <f t="shared" si="45"/>
        <v>15919</v>
      </c>
      <c r="N27" s="40">
        <f t="shared" ref="N27" si="46">+N25-N26</f>
        <v>4987</v>
      </c>
      <c r="O27" s="40">
        <f t="shared" ref="O27" si="47">+O25-O26</f>
        <v>5106</v>
      </c>
      <c r="P27" s="40">
        <f t="shared" ref="P27" si="48">+P25-P26</f>
        <v>5137</v>
      </c>
      <c r="Q27" s="40">
        <f t="shared" ref="Q27" si="49">+Q25-Q26</f>
        <v>6882</v>
      </c>
      <c r="R27" s="41">
        <f t="shared" ref="R27" si="50">+R25-R26</f>
        <v>22112</v>
      </c>
      <c r="S27" s="133">
        <f t="shared" ref="S27" si="51">+S25-S26</f>
        <v>2429</v>
      </c>
      <c r="T27" s="133">
        <f t="shared" ref="T27" si="52">+T25-T26</f>
        <v>2616</v>
      </c>
      <c r="U27" s="40">
        <f t="shared" ref="U27" si="53">+U25-U26</f>
        <v>6091</v>
      </c>
      <c r="V27" s="40">
        <f t="shared" ref="V27" si="54">+V25-V26</f>
        <v>7349</v>
      </c>
      <c r="W27" s="41">
        <f t="shared" ref="W27" si="55">+W25-W26</f>
        <v>18485</v>
      </c>
      <c r="X27" s="40">
        <f t="shared" ref="X27" si="56">+X25-X26</f>
        <v>4902</v>
      </c>
      <c r="Y27" s="40">
        <f t="shared" ref="Y27" si="57">+Y25-Y26</f>
        <v>4662.7014667462008</v>
      </c>
      <c r="Z27" s="40">
        <f t="shared" ref="Z27" si="58">+Z25-Z26</f>
        <v>5285.7847449860001</v>
      </c>
      <c r="AA27" s="40">
        <f t="shared" ref="AA27" si="59">+AA25-AA26</f>
        <v>7506.1490455019484</v>
      </c>
      <c r="AB27" s="129">
        <f t="shared" ref="AB27" si="60">+AB25-AB26</f>
        <v>22356.635257234142</v>
      </c>
      <c r="AC27" s="40">
        <f t="shared" ref="AC27" si="61">+AC25-AC26</f>
        <v>5818.7123482970055</v>
      </c>
      <c r="AD27" s="40">
        <f t="shared" ref="AD27" si="62">+AD25-AD26</f>
        <v>6970.9237859422074</v>
      </c>
      <c r="AE27" s="40">
        <f t="shared" ref="AE27" si="63">+AE25-AE26</f>
        <v>7453.9635117230464</v>
      </c>
      <c r="AF27" s="40">
        <f t="shared" ref="AF27" si="64">+AF25-AF26</f>
        <v>9187.5705294712297</v>
      </c>
      <c r="AG27" s="129">
        <f t="shared" ref="AG27" si="65">+AG25-AG26</f>
        <v>29431.170175433486</v>
      </c>
    </row>
    <row r="28" spans="1:33" x14ac:dyDescent="0.3">
      <c r="A28" s="137"/>
      <c r="B28" s="210" t="s">
        <v>0</v>
      </c>
      <c r="C28" s="211"/>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32">
        <v>2856</v>
      </c>
      <c r="T28" s="132">
        <v>2855</v>
      </c>
      <c r="U28" s="29">
        <v>2854</v>
      </c>
      <c r="V28" s="29">
        <v>2854</v>
      </c>
      <c r="W28" s="30">
        <f>(S28*S25/W25)+(T28*T25/W25)+(U28*U25/W25)+(V28*V25/W25)</f>
        <v>2854.4043278333784</v>
      </c>
      <c r="X28" s="29">
        <v>2851</v>
      </c>
      <c r="Y28" s="29">
        <f>X28*(1+Y78)-Y82</f>
        <v>2848.5530865586052</v>
      </c>
      <c r="Z28" s="29">
        <f>Y28*(1+Z78)-Z82</f>
        <v>2848.0519923143497</v>
      </c>
      <c r="AA28" s="29">
        <f>Z28*(1+AA78)-AA82</f>
        <v>2847.386691392453</v>
      </c>
      <c r="AB28" s="127">
        <f>(X28*X25/AB25)+(Y28*Y25/AB25)+(Z28*Z25/AB25)+(AA28*AA25/AB25)</f>
        <v>2848.5795197587609</v>
      </c>
      <c r="AC28" s="29">
        <f>AA28*(1+AC78)-AC82</f>
        <v>2846.2624742761068</v>
      </c>
      <c r="AD28" s="29">
        <f>AC28*(1+AD78)-AD82</f>
        <v>2845.3529971843723</v>
      </c>
      <c r="AE28" s="29">
        <f>AD28*(1+AE78)-AE82</f>
        <v>2844.5491616611857</v>
      </c>
      <c r="AF28" s="29">
        <f>AE28*(1+AF78)-AF82</f>
        <v>2843.6696814175652</v>
      </c>
      <c r="AG28" s="127">
        <f>(AC28*AC25/AG25)+(AD28*AD25/AG25)+(AE28*AE25/AG25)+(AF28*AF25/AG25)</f>
        <v>2844.8037374264482</v>
      </c>
    </row>
    <row r="29" spans="1:33" ht="15.75" customHeight="1" x14ac:dyDescent="0.3">
      <c r="A29" s="137"/>
      <c r="B29" s="210" t="s">
        <v>1</v>
      </c>
      <c r="C29" s="211"/>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32">
        <v>2869</v>
      </c>
      <c r="T29" s="132">
        <v>2875</v>
      </c>
      <c r="U29" s="29">
        <v>2874</v>
      </c>
      <c r="V29" s="29">
        <v>2880</v>
      </c>
      <c r="W29" s="30">
        <f>(S29*S25/W25)+(T29*T25/W25)+(U29*U25/W25)+(V29*V25/W25)</f>
        <v>2875.8698945090614</v>
      </c>
      <c r="X29" s="29">
        <v>2868</v>
      </c>
      <c r="Y29" s="29">
        <f>X29*(1+Y79)-Y82</f>
        <v>2866.5549091535918</v>
      </c>
      <c r="Z29" s="29">
        <f>Y29*(1+Z79)-Z82</f>
        <v>2865.556928311843</v>
      </c>
      <c r="AA29" s="29">
        <f>Z29*(1+AA79)-AA82</f>
        <v>2864.2707300403808</v>
      </c>
      <c r="AB29" s="127">
        <f>(X29*X25/AB25)+(Y29*Y25/AB25)+(Z29*Z25/AB25)+(AA29*AA25/AB25)</f>
        <v>2865.8689085424126</v>
      </c>
      <c r="AC29" s="29">
        <f>AA29*(1+AC79)-AC82</f>
        <v>2860.8762617946345</v>
      </c>
      <c r="AD29" s="29">
        <f>AC29*(1+AD79)-AD82</f>
        <v>2859.3660962688082</v>
      </c>
      <c r="AE29" s="29">
        <f>AD29*(1+AE79)-AE82</f>
        <v>2857.5621149390822</v>
      </c>
      <c r="AF29" s="29">
        <f>AE29*(1+AF79)-AF82</f>
        <v>2855.5571208506894</v>
      </c>
      <c r="AG29" s="127">
        <f>(AC29*AC25/AG25)+(AD29*AD25/AG25)+(AE29*AE25/AG25)+(AF29*AF25/AG25)</f>
        <v>2858.0187212824549</v>
      </c>
    </row>
    <row r="30" spans="1:33" ht="15.75" customHeight="1" x14ac:dyDescent="0.3">
      <c r="A30" s="137"/>
      <c r="B30" s="220" t="s">
        <v>9</v>
      </c>
      <c r="C30" s="221"/>
      <c r="D30" s="43">
        <f t="shared" ref="D30:AG30" si="66">D25/D28</f>
        <v>0.53112908899050304</v>
      </c>
      <c r="E30" s="43">
        <f t="shared" si="66"/>
        <v>0.71953781512605042</v>
      </c>
      <c r="F30" s="43">
        <f t="shared" si="66"/>
        <v>0.82863113897596652</v>
      </c>
      <c r="G30" s="43">
        <f t="shared" si="66"/>
        <v>1.4826509368494101</v>
      </c>
      <c r="H30" s="44">
        <f t="shared" si="66"/>
        <v>3.5680112997384774</v>
      </c>
      <c r="I30" s="43">
        <f t="shared" si="66"/>
        <v>1.0598408855067452</v>
      </c>
      <c r="J30" s="43">
        <f t="shared" si="66"/>
        <v>1.3427586206896551</v>
      </c>
      <c r="K30" s="43">
        <f t="shared" si="66"/>
        <v>1.6208677685950412</v>
      </c>
      <c r="L30" s="43">
        <f t="shared" si="66"/>
        <v>1.4681802545579636</v>
      </c>
      <c r="M30" s="44">
        <f t="shared" si="66"/>
        <v>5.4922440537745603</v>
      </c>
      <c r="N30" s="43">
        <f t="shared" si="66"/>
        <v>1.7164487267721955</v>
      </c>
      <c r="O30" s="43">
        <f t="shared" si="66"/>
        <v>1.7637305699481864</v>
      </c>
      <c r="P30" s="43">
        <f t="shared" si="66"/>
        <v>1.7805892547660311</v>
      </c>
      <c r="Q30" s="43">
        <f t="shared" si="66"/>
        <v>2.3962395543175488</v>
      </c>
      <c r="R30" s="44">
        <f t="shared" si="66"/>
        <v>7.6515570934256054</v>
      </c>
      <c r="S30" s="135">
        <f t="shared" si="66"/>
        <v>0.85049019607843135</v>
      </c>
      <c r="T30" s="135">
        <f t="shared" si="66"/>
        <v>0.91628721541155866</v>
      </c>
      <c r="U30" s="43">
        <f t="shared" si="66"/>
        <v>2.1341976173791171</v>
      </c>
      <c r="V30" s="43">
        <f t="shared" si="66"/>
        <v>2.5749824807288015</v>
      </c>
      <c r="W30" s="44">
        <f t="shared" si="66"/>
        <v>6.4759571094228789</v>
      </c>
      <c r="X30" s="43">
        <f t="shared" si="66"/>
        <v>1.7193967029112591</v>
      </c>
      <c r="Y30" s="43">
        <f t="shared" si="66"/>
        <v>1.6368666214254428</v>
      </c>
      <c r="Z30" s="43">
        <f t="shared" si="66"/>
        <v>1.855929863376802</v>
      </c>
      <c r="AA30" s="43">
        <f t="shared" si="66"/>
        <v>2.6361537293802648</v>
      </c>
      <c r="AB30" s="131">
        <f t="shared" si="66"/>
        <v>7.8483451496300409</v>
      </c>
      <c r="AC30" s="43">
        <f t="shared" si="66"/>
        <v>2.0443344213280561</v>
      </c>
      <c r="AD30" s="43">
        <f t="shared" si="66"/>
        <v>2.4499328529150182</v>
      </c>
      <c r="AE30" s="43">
        <f t="shared" si="66"/>
        <v>2.6204375766070478</v>
      </c>
      <c r="AF30" s="43">
        <f t="shared" si="66"/>
        <v>3.2308852851331307</v>
      </c>
      <c r="AG30" s="131">
        <f t="shared" si="66"/>
        <v>10.345588972706565</v>
      </c>
    </row>
    <row r="31" spans="1:33" x14ac:dyDescent="0.3">
      <c r="A31" s="137"/>
      <c r="B31" s="218" t="s">
        <v>10</v>
      </c>
      <c r="C31" s="219"/>
      <c r="D31" s="107">
        <f t="shared" ref="D31:AG31" si="67">D25/D29</f>
        <v>0.52285318559556782</v>
      </c>
      <c r="E31" s="107">
        <f t="shared" si="67"/>
        <v>0.7076446280991735</v>
      </c>
      <c r="F31" s="107">
        <f t="shared" si="67"/>
        <v>0.81612349914236704</v>
      </c>
      <c r="G31" s="107">
        <f t="shared" si="67"/>
        <v>1.4543907420013615</v>
      </c>
      <c r="H31" s="108">
        <f t="shared" si="67"/>
        <v>3.4929914529914532</v>
      </c>
      <c r="I31" s="107">
        <f t="shared" si="67"/>
        <v>1.0407608695652173</v>
      </c>
      <c r="J31" s="107">
        <f t="shared" si="67"/>
        <v>1.3195526940020332</v>
      </c>
      <c r="K31" s="107">
        <f t="shared" si="67"/>
        <v>1.5923545331529094</v>
      </c>
      <c r="L31" s="107">
        <f t="shared" si="67"/>
        <v>1.4448205822613405</v>
      </c>
      <c r="M31" s="108">
        <f t="shared" si="67"/>
        <v>5.3900541271989173</v>
      </c>
      <c r="N31" s="107">
        <f t="shared" si="67"/>
        <v>1.6937181663837011</v>
      </c>
      <c r="O31" s="107">
        <f t="shared" si="67"/>
        <v>1.7426621160409557</v>
      </c>
      <c r="P31" s="107">
        <f t="shared" si="67"/>
        <v>1.7634740817027119</v>
      </c>
      <c r="Q31" s="107">
        <f t="shared" si="67"/>
        <v>2.3846153846153846</v>
      </c>
      <c r="R31" s="108">
        <f t="shared" si="67"/>
        <v>7.5703526189661074</v>
      </c>
      <c r="S31" s="136">
        <f t="shared" si="67"/>
        <v>0.84663645869640991</v>
      </c>
      <c r="T31" s="136">
        <f t="shared" si="67"/>
        <v>0.90991304347826085</v>
      </c>
      <c r="U31" s="136">
        <f t="shared" si="67"/>
        <v>2.1193458594293668</v>
      </c>
      <c r="V31" s="136">
        <f t="shared" si="67"/>
        <v>2.551736111111111</v>
      </c>
      <c r="W31" s="157">
        <f t="shared" si="67"/>
        <v>6.4276203994115555</v>
      </c>
      <c r="X31" s="136">
        <f t="shared" si="67"/>
        <v>1.7092050209205021</v>
      </c>
      <c r="Y31" s="136">
        <f t="shared" si="67"/>
        <v>1.6265871802619534</v>
      </c>
      <c r="Z31" s="136">
        <f t="shared" si="67"/>
        <v>1.8445924744199591</v>
      </c>
      <c r="AA31" s="136">
        <f t="shared" si="67"/>
        <v>2.6206143737663115</v>
      </c>
      <c r="AB31" s="157">
        <f t="shared" si="67"/>
        <v>7.8009971742234283</v>
      </c>
      <c r="AC31" s="136">
        <f t="shared" si="67"/>
        <v>2.0338916527088498</v>
      </c>
      <c r="AD31" s="136">
        <f t="shared" si="67"/>
        <v>2.4379262924878971</v>
      </c>
      <c r="AE31" s="136">
        <f t="shared" si="67"/>
        <v>2.6085044565626005</v>
      </c>
      <c r="AF31" s="136">
        <f t="shared" si="67"/>
        <v>3.2174353867360885</v>
      </c>
      <c r="AG31" s="157">
        <f t="shared" si="67"/>
        <v>10.297752760075372</v>
      </c>
    </row>
    <row r="32" spans="1:33" x14ac:dyDescent="0.3">
      <c r="B32" s="46"/>
      <c r="C32" s="126" t="s">
        <v>15</v>
      </c>
      <c r="D32" s="50"/>
      <c r="E32" s="50"/>
      <c r="F32" s="50"/>
      <c r="G32" s="50"/>
      <c r="H32" s="16"/>
      <c r="I32" s="50"/>
      <c r="J32" s="50"/>
      <c r="K32" s="50"/>
      <c r="L32" s="50"/>
      <c r="M32" s="16"/>
      <c r="N32" s="50"/>
      <c r="O32" s="50"/>
      <c r="P32" s="50"/>
      <c r="Q32" s="50"/>
      <c r="R32" s="16"/>
      <c r="S32" s="83"/>
      <c r="T32" s="155"/>
      <c r="U32" s="149"/>
      <c r="V32" s="149"/>
      <c r="W32" s="149"/>
      <c r="X32" s="149"/>
      <c r="Y32" s="149"/>
      <c r="Z32" s="50"/>
      <c r="AA32" s="149"/>
      <c r="AB32" s="16"/>
      <c r="AC32" s="50"/>
      <c r="AD32" s="50"/>
      <c r="AE32" s="50"/>
      <c r="AF32" s="149"/>
      <c r="AG32" s="16"/>
    </row>
    <row r="33" spans="1:33" ht="15.6" x14ac:dyDescent="0.3">
      <c r="A33" s="137"/>
      <c r="B33" s="205" t="s">
        <v>25</v>
      </c>
      <c r="C33" s="206"/>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37"/>
      <c r="B34" s="222"/>
      <c r="C34" s="223"/>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141</v>
      </c>
      <c r="T34" s="27" t="s">
        <v>147</v>
      </c>
      <c r="U34" s="27" t="s">
        <v>148</v>
      </c>
      <c r="V34" s="27" t="s">
        <v>149</v>
      </c>
      <c r="W34" s="80" t="s">
        <v>150</v>
      </c>
      <c r="X34" s="27" t="s">
        <v>151</v>
      </c>
      <c r="Y34" s="25" t="s">
        <v>106</v>
      </c>
      <c r="Z34" s="25" t="s">
        <v>107</v>
      </c>
      <c r="AA34" s="25" t="s">
        <v>108</v>
      </c>
      <c r="AB34" s="82" t="s">
        <v>109</v>
      </c>
      <c r="AC34" s="25" t="s">
        <v>110</v>
      </c>
      <c r="AD34" s="25" t="s">
        <v>111</v>
      </c>
      <c r="AE34" s="25" t="s">
        <v>112</v>
      </c>
      <c r="AF34" s="25" t="s">
        <v>113</v>
      </c>
      <c r="AG34" s="82" t="s">
        <v>114</v>
      </c>
    </row>
    <row r="35" spans="1:33" ht="15.6" x14ac:dyDescent="0.3">
      <c r="A35" s="137"/>
      <c r="B35" s="205" t="s">
        <v>146</v>
      </c>
      <c r="C35" s="206"/>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37"/>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8851.4502300000004</v>
      </c>
      <c r="Z36" s="64">
        <f>+((Z42+Y42)/2)*Z52</f>
        <v>9527.010479999999</v>
      </c>
      <c r="AA36" s="64">
        <f>+((AA42+Z42)/2)*AA52</f>
        <v>11668.344159999999</v>
      </c>
      <c r="AB36" s="19"/>
      <c r="AC36" s="64">
        <f>+((AC42+AA42)/2)*AC52</f>
        <v>10600.872312</v>
      </c>
      <c r="AD36" s="64">
        <f>+((AD42+AC42)/2)*AD52</f>
        <v>10798.7692806</v>
      </c>
      <c r="AE36" s="64">
        <f>+((AE42+AD42)/2)*AE52</f>
        <v>11241.872366399999</v>
      </c>
      <c r="AF36" s="64">
        <f>+((AF42+AE42)/2)*AF52</f>
        <v>13552.40457956</v>
      </c>
      <c r="AG36" s="19"/>
    </row>
    <row r="37" spans="1:33" outlineLevel="1" x14ac:dyDescent="0.3">
      <c r="A37" s="137"/>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4790.9785000000002</v>
      </c>
      <c r="Z37" s="64">
        <f t="shared" ref="Z37:AA37" si="68">+((Z44+Y44)/2)*Z54</f>
        <v>5001.5374499999998</v>
      </c>
      <c r="AA37" s="64">
        <f t="shared" si="68"/>
        <v>6329.9717630000005</v>
      </c>
      <c r="AB37" s="19"/>
      <c r="AC37" s="64">
        <f>+((AC44+AA44)/2)*AC54</f>
        <v>5208.5779200000006</v>
      </c>
      <c r="AD37" s="64">
        <f>+((AD44+AC44)/2)*AD54</f>
        <v>5806.6659419999996</v>
      </c>
      <c r="AE37" s="64">
        <f t="shared" ref="AE37:AF37" si="69">+((AE44+AD44)/2)*AE54</f>
        <v>6019.7236631699998</v>
      </c>
      <c r="AF37" s="64">
        <f t="shared" si="69"/>
        <v>7693.4476807502006</v>
      </c>
      <c r="AG37" s="19"/>
    </row>
    <row r="38" spans="1:33" outlineLevel="1" x14ac:dyDescent="0.3">
      <c r="A38" s="137"/>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3537.3105600000004</v>
      </c>
      <c r="Z38" s="64">
        <f t="shared" ref="Z38:AA38" si="70">+((Z46+Y46)/2)*Z56</f>
        <v>4023.6134400000005</v>
      </c>
      <c r="AA38" s="64">
        <f t="shared" si="70"/>
        <v>4634.3095344000003</v>
      </c>
      <c r="AB38" s="19"/>
      <c r="AC38" s="64">
        <f>+((AC46+AA46)/2)*AC56</f>
        <v>4236.7457664000012</v>
      </c>
      <c r="AD38" s="64">
        <f>+((AD46+AC46)/2)*AD56</f>
        <v>4674.9096360960011</v>
      </c>
      <c r="AE38" s="64">
        <f t="shared" ref="AE38:AF38" si="71">+((AE46+AD46)/2)*AE56</f>
        <v>5407.7364633600018</v>
      </c>
      <c r="AF38" s="64">
        <f t="shared" si="71"/>
        <v>6436.129081374721</v>
      </c>
      <c r="AG38" s="19"/>
    </row>
    <row r="39" spans="1:33" ht="16.2" outlineLevel="1" x14ac:dyDescent="0.45">
      <c r="A39" s="137"/>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1885.6789889999998</v>
      </c>
      <c r="Z39" s="99">
        <f t="shared" ref="Z39:AA39" si="72">+((Z48+Y48)/2)*Z58</f>
        <v>2039.3956800000005</v>
      </c>
      <c r="AA39" s="99">
        <f t="shared" si="72"/>
        <v>2321.7018954881364</v>
      </c>
      <c r="AB39" s="19"/>
      <c r="AC39" s="99">
        <f>+((AC48+AA48)/2)*AC58</f>
        <v>1969.0837062433852</v>
      </c>
      <c r="AD39" s="99">
        <f>+((AD48+AC48)/2)*AD58</f>
        <v>2320.3279959644997</v>
      </c>
      <c r="AE39" s="99">
        <f t="shared" ref="AE39:AF39" si="73">+((AE48+AD48)/2)*AE58</f>
        <v>2618.584053120001</v>
      </c>
      <c r="AF39" s="99">
        <f t="shared" si="73"/>
        <v>3080.4340749336598</v>
      </c>
      <c r="AG39" s="19"/>
    </row>
    <row r="40" spans="1:33" s="92" customFormat="1" outlineLevel="1" x14ac:dyDescent="0.3">
      <c r="A40" s="138"/>
      <c r="B40" s="90" t="s">
        <v>20</v>
      </c>
      <c r="C40" s="72"/>
      <c r="D40" s="100">
        <f>SUM(D36:D39)</f>
        <v>5382</v>
      </c>
      <c r="E40" s="100">
        <f t="shared" ref="E40:G40" si="74">SUM(E36:E39)</f>
        <v>6436</v>
      </c>
      <c r="F40" s="100">
        <f t="shared" si="74"/>
        <v>7011</v>
      </c>
      <c r="G40" s="100">
        <f t="shared" si="74"/>
        <v>8809</v>
      </c>
      <c r="H40" s="91"/>
      <c r="I40" s="100">
        <f>SUM(I36:I39)</f>
        <v>8032</v>
      </c>
      <c r="J40" s="100">
        <f t="shared" ref="J40:L40" si="75">SUM(J36:J39)</f>
        <v>9321</v>
      </c>
      <c r="K40" s="100">
        <f t="shared" si="75"/>
        <v>10328</v>
      </c>
      <c r="L40" s="100">
        <f t="shared" si="75"/>
        <v>12972</v>
      </c>
      <c r="M40" s="91"/>
      <c r="N40" s="100">
        <f>SUM(N36:N39)</f>
        <v>11966</v>
      </c>
      <c r="O40" s="100">
        <f t="shared" ref="O40" si="76">SUM(O36:O39)</f>
        <v>13231</v>
      </c>
      <c r="P40" s="100">
        <f t="shared" ref="P40" si="77">SUM(P36:P39)</f>
        <v>13727</v>
      </c>
      <c r="Q40" s="100">
        <f t="shared" ref="Q40" si="78">SUM(Q36:Q39)</f>
        <v>16914</v>
      </c>
      <c r="R40" s="91"/>
      <c r="S40" s="100">
        <f>SUM(S36:S39)</f>
        <v>15077</v>
      </c>
      <c r="T40" s="100">
        <f>SUM(T36:T39)</f>
        <v>16886</v>
      </c>
      <c r="U40" s="100">
        <f t="shared" ref="U40" si="79">SUM(U36:U39)</f>
        <v>17652</v>
      </c>
      <c r="V40" s="100">
        <f t="shared" ref="V40" si="80">SUM(V36:V39)</f>
        <v>21082</v>
      </c>
      <c r="W40" s="91"/>
      <c r="X40" s="100">
        <f>SUM(X36:X39)</f>
        <v>17737</v>
      </c>
      <c r="Y40" s="100">
        <f>SUM(Y36:Y39)</f>
        <v>19065.418279000001</v>
      </c>
      <c r="Z40" s="100">
        <f t="shared" ref="Z40:AA40" si="81">SUM(Z36:Z39)</f>
        <v>20591.557049999999</v>
      </c>
      <c r="AA40" s="100">
        <f t="shared" si="81"/>
        <v>24954.327352888133</v>
      </c>
      <c r="AB40" s="91"/>
      <c r="AC40" s="100">
        <f>SUM(AC36:AC39)</f>
        <v>22015.279704643384</v>
      </c>
      <c r="AD40" s="100">
        <f>SUM(AD36:AD39)</f>
        <v>23600.672854660501</v>
      </c>
      <c r="AE40" s="100">
        <f t="shared" ref="AE40:AF40" si="82">SUM(AE36:AE39)</f>
        <v>25287.916546050001</v>
      </c>
      <c r="AF40" s="100">
        <f t="shared" si="82"/>
        <v>30762.41541661858</v>
      </c>
      <c r="AG40" s="91"/>
    </row>
    <row r="41" spans="1:33" ht="17.399999999999999" x14ac:dyDescent="0.45">
      <c r="A41" s="137"/>
      <c r="B41" s="208" t="s">
        <v>86</v>
      </c>
      <c r="C41" s="209"/>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141</v>
      </c>
      <c r="T41" s="27" t="s">
        <v>147</v>
      </c>
      <c r="U41" s="27" t="s">
        <v>148</v>
      </c>
      <c r="V41" s="27" t="s">
        <v>149</v>
      </c>
      <c r="W41" s="80" t="s">
        <v>150</v>
      </c>
      <c r="X41" s="27" t="s">
        <v>151</v>
      </c>
      <c r="Y41" s="25" t="s">
        <v>106</v>
      </c>
      <c r="Z41" s="25" t="s">
        <v>107</v>
      </c>
      <c r="AA41" s="25" t="s">
        <v>108</v>
      </c>
      <c r="AB41" s="82" t="s">
        <v>109</v>
      </c>
      <c r="AC41" s="25" t="s">
        <v>110</v>
      </c>
      <c r="AD41" s="25" t="s">
        <v>111</v>
      </c>
      <c r="AE41" s="25" t="s">
        <v>112</v>
      </c>
      <c r="AF41" s="25" t="s">
        <v>113</v>
      </c>
      <c r="AG41" s="82" t="s">
        <v>114</v>
      </c>
    </row>
    <row r="42" spans="1:33" ht="15.6" outlineLevel="1" x14ac:dyDescent="0.3">
      <c r="A42" s="137"/>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 t="shared" ref="Y42" si="83">T42*(1+Y43)</f>
        <v>253.76000000000002</v>
      </c>
      <c r="Z42" s="29">
        <f t="shared" ref="Z42" si="84">U42*(1+Z43)</f>
        <v>256.88</v>
      </c>
      <c r="AA42" s="29">
        <f t="shared" ref="AA42" si="85">V42*(1+AA43)</f>
        <v>255.44</v>
      </c>
      <c r="AB42" s="19"/>
      <c r="AC42" s="29">
        <f>X42*(1+AC43)</f>
        <v>253</v>
      </c>
      <c r="AD42" s="29">
        <f t="shared" ref="AD42" si="86">Y42*(1+AD43)</f>
        <v>253.76000000000002</v>
      </c>
      <c r="AE42" s="29">
        <f t="shared" ref="AE42" si="87">Z42*(1+AE43)</f>
        <v>256.88</v>
      </c>
      <c r="AF42" s="29">
        <f t="shared" ref="AF42" si="88">AA42*(1+AF43)</f>
        <v>260.54880000000003</v>
      </c>
      <c r="AG42" s="19"/>
    </row>
    <row r="43" spans="1:33" ht="15.6" outlineLevel="1" x14ac:dyDescent="0.3">
      <c r="A43" s="137"/>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39">
        <f>+S42/N42-1</f>
        <v>8.2987551867219622E-3</v>
      </c>
      <c r="T43" s="55">
        <f>+T42/O42-1</f>
        <v>1.2448132780082943E-2</v>
      </c>
      <c r="U43" s="55">
        <f>+U42/P42-1</f>
        <v>2.0661157024793431E-2</v>
      </c>
      <c r="V43" s="55">
        <f>+V42/Q42-1</f>
        <v>2.4793388429751984E-2</v>
      </c>
      <c r="W43" s="19"/>
      <c r="X43" s="139">
        <f>+X42/S42-1</f>
        <v>4.1152263374485631E-2</v>
      </c>
      <c r="Y43" s="59">
        <v>0.04</v>
      </c>
      <c r="Z43" s="59">
        <v>0.04</v>
      </c>
      <c r="AA43" s="59">
        <v>0.03</v>
      </c>
      <c r="AB43" s="19"/>
      <c r="AC43" s="59">
        <v>0</v>
      </c>
      <c r="AD43" s="59">
        <v>0</v>
      </c>
      <c r="AE43" s="59">
        <v>0</v>
      </c>
      <c r="AF43" s="59">
        <v>0.02</v>
      </c>
      <c r="AG43" s="19"/>
    </row>
    <row r="44" spans="1:33" outlineLevel="1" x14ac:dyDescent="0.3">
      <c r="A44" s="137"/>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32">
        <v>384</v>
      </c>
      <c r="T44" s="29">
        <v>385</v>
      </c>
      <c r="U44" s="29">
        <v>387</v>
      </c>
      <c r="V44" s="29">
        <v>394</v>
      </c>
      <c r="W44" s="19"/>
      <c r="X44" s="29">
        <v>406</v>
      </c>
      <c r="Y44" s="29">
        <f t="shared" ref="Y44" si="89">T44*(1+Y45)</f>
        <v>408.1</v>
      </c>
      <c r="Z44" s="29">
        <f t="shared" ref="Z44" si="90">U44*(1+Z45)</f>
        <v>406.35</v>
      </c>
      <c r="AA44" s="29">
        <f t="shared" ref="AA44" si="91">V44*(1+AA45)</f>
        <v>405.82</v>
      </c>
      <c r="AB44" s="19"/>
      <c r="AC44" s="29">
        <f>X44*(1+AC45)</f>
        <v>410.06</v>
      </c>
      <c r="AD44" s="29">
        <f t="shared" ref="AD44" si="92">Y44*(1+AD45)</f>
        <v>412.18100000000004</v>
      </c>
      <c r="AE44" s="29">
        <f t="shared" ref="AE44" si="93">Z44*(1+AE45)</f>
        <v>418.54050000000001</v>
      </c>
      <c r="AF44" s="29">
        <f t="shared" ref="AF44" si="94">AA44*(1+AF45)</f>
        <v>417.99459999999999</v>
      </c>
      <c r="AG44" s="19"/>
    </row>
    <row r="45" spans="1:33" outlineLevel="1" x14ac:dyDescent="0.3">
      <c r="A45" s="137"/>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39">
        <f>+S44/N44-1</f>
        <v>1.8567639257294433E-2</v>
      </c>
      <c r="T45" s="55">
        <f>+T44/O44-1</f>
        <v>2.3936170212766061E-2</v>
      </c>
      <c r="U45" s="55">
        <f>+U44/P44-1</f>
        <v>3.2000000000000028E-2</v>
      </c>
      <c r="V45" s="55">
        <f>+V44/Q44-1</f>
        <v>3.4120734908136496E-2</v>
      </c>
      <c r="W45" s="19"/>
      <c r="X45" s="139">
        <f>+X44/S44-1</f>
        <v>5.7291666666666741E-2</v>
      </c>
      <c r="Y45" s="59">
        <v>0.06</v>
      </c>
      <c r="Z45" s="59">
        <v>0.05</v>
      </c>
      <c r="AA45" s="59">
        <v>0.03</v>
      </c>
      <c r="AB45" s="19"/>
      <c r="AC45" s="59">
        <v>0.01</v>
      </c>
      <c r="AD45" s="59">
        <v>0.01</v>
      </c>
      <c r="AE45" s="59">
        <v>0.03</v>
      </c>
      <c r="AF45" s="59">
        <v>0.03</v>
      </c>
      <c r="AG45" s="19"/>
    </row>
    <row r="46" spans="1:33" outlineLevel="1" x14ac:dyDescent="0.3">
      <c r="A46" s="137"/>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32">
        <v>981</v>
      </c>
      <c r="T46" s="29">
        <v>1003</v>
      </c>
      <c r="U46" s="29">
        <v>1013</v>
      </c>
      <c r="V46" s="29">
        <v>1038.4000000000001</v>
      </c>
      <c r="W46" s="24"/>
      <c r="X46" s="29">
        <v>1093</v>
      </c>
      <c r="Y46" s="29">
        <f t="shared" ref="Y46" si="95">T46*(1+Y47)</f>
        <v>1123.3600000000001</v>
      </c>
      <c r="Z46" s="29">
        <f t="shared" ref="Z46" si="96">U46*(1+Z47)</f>
        <v>1134.5600000000002</v>
      </c>
      <c r="AA46" s="29">
        <f t="shared" ref="AA46" si="97">V46*(1+AA47)</f>
        <v>1163.0080000000003</v>
      </c>
      <c r="AB46" s="22"/>
      <c r="AC46" s="29">
        <f>X46*(1+AC47)</f>
        <v>1224.1600000000001</v>
      </c>
      <c r="AD46" s="29">
        <f t="shared" ref="AD46" si="98">Y46*(1+AD47)</f>
        <v>1258.1632000000002</v>
      </c>
      <c r="AE46" s="29">
        <f t="shared" ref="AE46" si="99">Z46*(1+AE47)</f>
        <v>1270.7072000000003</v>
      </c>
      <c r="AF46" s="29">
        <f t="shared" ref="AF46" si="100">AA46*(1+AF47)</f>
        <v>1302.5689600000005</v>
      </c>
      <c r="AG46" s="22"/>
    </row>
    <row r="47" spans="1:33" outlineLevel="1" x14ac:dyDescent="0.3">
      <c r="A47" s="137"/>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39">
        <f>+S46/N46-1</f>
        <v>0.12371134020618557</v>
      </c>
      <c r="T47" s="55">
        <f>+T46/O46-1</f>
        <v>0.12192393736017904</v>
      </c>
      <c r="U47" s="55">
        <f>+U46/P46-1</f>
        <v>0.10468920392584513</v>
      </c>
      <c r="V47" s="55">
        <f>+V46/Q46-1</f>
        <v>9.6515311510031676E-2</v>
      </c>
      <c r="W47" s="24"/>
      <c r="X47" s="139">
        <f>+X46/S46-1</f>
        <v>0.11416921508664624</v>
      </c>
      <c r="Y47" s="59">
        <v>0.12</v>
      </c>
      <c r="Z47" s="59">
        <v>0.12</v>
      </c>
      <c r="AA47" s="59">
        <v>0.12</v>
      </c>
      <c r="AB47" s="19"/>
      <c r="AC47" s="59">
        <v>0.12</v>
      </c>
      <c r="AD47" s="59">
        <v>0.12</v>
      </c>
      <c r="AE47" s="59">
        <v>0.12</v>
      </c>
      <c r="AF47" s="59">
        <v>0.12</v>
      </c>
      <c r="AG47" s="19"/>
    </row>
    <row r="48" spans="1:33" outlineLevel="1" x14ac:dyDescent="0.3">
      <c r="A48" s="137"/>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32">
        <v>768</v>
      </c>
      <c r="T48" s="29">
        <v>782</v>
      </c>
      <c r="U48" s="29">
        <v>802</v>
      </c>
      <c r="V48" s="29">
        <v>817.4</v>
      </c>
      <c r="W48" s="19"/>
      <c r="X48" s="29">
        <v>851</v>
      </c>
      <c r="Y48" s="29">
        <f t="shared" ref="Y48" si="101">T48*(1+Y49)</f>
        <v>868.0200000000001</v>
      </c>
      <c r="Z48" s="29">
        <f t="shared" ref="Z48" si="102">U48*(1+Z49)</f>
        <v>866.16000000000008</v>
      </c>
      <c r="AA48" s="29">
        <f t="shared" ref="AA48" si="103">V48*(1+AA49)</f>
        <v>888.50145385416658</v>
      </c>
      <c r="AB48" s="19"/>
      <c r="AC48" s="29">
        <f>X48*(1+AC49)</f>
        <v>910.57</v>
      </c>
      <c r="AD48" s="29">
        <f t="shared" ref="AD48" si="104">Y48*(1+AD49)</f>
        <v>928.78140000000019</v>
      </c>
      <c r="AE48" s="29">
        <f t="shared" ref="AE48" si="105">Z48*(1+AE49)</f>
        <v>926.79120000000012</v>
      </c>
      <c r="AF48" s="29">
        <f t="shared" ref="AF48" si="106">AA48*(1+AF49)</f>
        <v>950.69655562395826</v>
      </c>
      <c r="AG48" s="19"/>
    </row>
    <row r="49" spans="1:33" outlineLevel="1" x14ac:dyDescent="0.3">
      <c r="A49" s="137"/>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39">
        <f>+S48/N48-1</f>
        <v>8.9361702127659592E-2</v>
      </c>
      <c r="T49" s="55">
        <f>+T48/O48-1</f>
        <v>8.1604426002766184E-2</v>
      </c>
      <c r="U49" s="55">
        <f>+U48/P48-1</f>
        <v>8.9673913043478271E-2</v>
      </c>
      <c r="V49" s="55">
        <f>+V48/Q48-1</f>
        <v>8.9866666666666539E-2</v>
      </c>
      <c r="W49" s="19"/>
      <c r="X49" s="139">
        <f>+X48/S48-1</f>
        <v>0.10807291666666674</v>
      </c>
      <c r="Y49" s="59">
        <v>0.11</v>
      </c>
      <c r="Z49" s="59">
        <v>0.08</v>
      </c>
      <c r="AA49" s="59">
        <f>AVERAGE(V49,X49,Y49,Z49)-1%</f>
        <v>8.6984895833333326E-2</v>
      </c>
      <c r="AB49" s="19"/>
      <c r="AC49" s="59">
        <v>7.0000000000000007E-2</v>
      </c>
      <c r="AD49" s="59">
        <v>7.0000000000000007E-2</v>
      </c>
      <c r="AE49" s="59">
        <v>7.0000000000000007E-2</v>
      </c>
      <c r="AF49" s="59">
        <v>7.0000000000000007E-2</v>
      </c>
      <c r="AG49" s="19"/>
    </row>
    <row r="50" spans="1:33" s="21" customFormat="1" outlineLevel="1" x14ac:dyDescent="0.3">
      <c r="A50" s="140"/>
      <c r="B50" s="78" t="s">
        <v>81</v>
      </c>
      <c r="C50" s="36"/>
      <c r="D50" s="40">
        <f>+D42+D44+D46+D48</f>
        <v>1654</v>
      </c>
      <c r="E50" s="40">
        <f t="shared" ref="E50:G50" si="107">+E42+E44+E46+E48</f>
        <v>1712</v>
      </c>
      <c r="F50" s="40">
        <f t="shared" si="107"/>
        <v>1787</v>
      </c>
      <c r="G50" s="40">
        <f t="shared" si="107"/>
        <v>1859.8000000000002</v>
      </c>
      <c r="H50" s="95"/>
      <c r="I50" s="40">
        <f>+I42+I44+I46+I48</f>
        <v>1936</v>
      </c>
      <c r="J50" s="40">
        <f t="shared" ref="J50:L50" si="108">+J42+J44+J46+J48</f>
        <v>2006</v>
      </c>
      <c r="K50" s="40">
        <f t="shared" si="108"/>
        <v>2072</v>
      </c>
      <c r="L50" s="40">
        <f t="shared" si="108"/>
        <v>2129</v>
      </c>
      <c r="M50" s="95"/>
      <c r="N50" s="40">
        <f>+N42+N44+N46+N48</f>
        <v>2196</v>
      </c>
      <c r="O50" s="40">
        <f t="shared" ref="O50:Q50" si="109">+O42+O44+O46+O48</f>
        <v>2234</v>
      </c>
      <c r="P50" s="40">
        <f t="shared" si="109"/>
        <v>2270</v>
      </c>
      <c r="Q50" s="40">
        <f t="shared" si="109"/>
        <v>2320</v>
      </c>
      <c r="R50" s="95"/>
      <c r="S50" s="40">
        <f>+S42+S44+S46+S48</f>
        <v>2376</v>
      </c>
      <c r="T50" s="40">
        <f t="shared" ref="T50:V50" si="110">+T42+T44+T46+T48</f>
        <v>2414</v>
      </c>
      <c r="U50" s="40">
        <f t="shared" si="110"/>
        <v>2449</v>
      </c>
      <c r="V50" s="40">
        <f t="shared" si="110"/>
        <v>2497.8000000000002</v>
      </c>
      <c r="W50" s="96"/>
      <c r="X50" s="40">
        <f>+X42+X44+X46+X48</f>
        <v>2603</v>
      </c>
      <c r="Y50" s="40">
        <f t="shared" ref="Y50:AA50" si="111">+Y42+Y44+Y46+Y48</f>
        <v>2653.2400000000002</v>
      </c>
      <c r="Z50" s="40">
        <f t="shared" si="111"/>
        <v>2663.9500000000003</v>
      </c>
      <c r="AA50" s="40">
        <f t="shared" si="111"/>
        <v>2712.7694538541668</v>
      </c>
      <c r="AB50" s="95"/>
      <c r="AC50" s="40">
        <f>+AC42+AC44+AC46+AC48</f>
        <v>2797.79</v>
      </c>
      <c r="AD50" s="40">
        <f t="shared" ref="AD50:AF50" si="112">+AD42+AD44+AD46+AD48</f>
        <v>2852.8856000000005</v>
      </c>
      <c r="AE50" s="40">
        <f t="shared" si="112"/>
        <v>2872.9189000000006</v>
      </c>
      <c r="AF50" s="40">
        <f t="shared" si="112"/>
        <v>2931.8089156239589</v>
      </c>
      <c r="AG50" s="95"/>
    </row>
    <row r="51" spans="1:33" ht="17.399999999999999" x14ac:dyDescent="0.45">
      <c r="A51" s="137"/>
      <c r="B51" s="205" t="s">
        <v>87</v>
      </c>
      <c r="C51" s="206"/>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141</v>
      </c>
      <c r="T51" s="27" t="s">
        <v>147</v>
      </c>
      <c r="U51" s="27" t="s">
        <v>148</v>
      </c>
      <c r="V51" s="27" t="s">
        <v>149</v>
      </c>
      <c r="W51" s="80" t="s">
        <v>150</v>
      </c>
      <c r="X51" s="27" t="s">
        <v>151</v>
      </c>
      <c r="Y51" s="25" t="s">
        <v>106</v>
      </c>
      <c r="Z51" s="25" t="s">
        <v>107</v>
      </c>
      <c r="AA51" s="25" t="s">
        <v>108</v>
      </c>
      <c r="AB51" s="82" t="s">
        <v>109</v>
      </c>
      <c r="AC51" s="25" t="s">
        <v>110</v>
      </c>
      <c r="AD51" s="25" t="s">
        <v>111</v>
      </c>
      <c r="AE51" s="25" t="s">
        <v>112</v>
      </c>
      <c r="AF51" s="25" t="s">
        <v>113</v>
      </c>
      <c r="AG51" s="82" t="s">
        <v>114</v>
      </c>
    </row>
    <row r="52" spans="1:33" ht="15.6" outlineLevel="1" x14ac:dyDescent="0.3">
      <c r="A52" s="137"/>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 t="shared" ref="Y52" si="113">T52*(1+Y53)</f>
        <v>34.933500000000002</v>
      </c>
      <c r="Z52" s="45">
        <f t="shared" ref="Z52" si="114">U52*(1+Z53)</f>
        <v>37.314</v>
      </c>
      <c r="AA52" s="45">
        <f t="shared" ref="AA52" si="115">V52*(1+AA53)</f>
        <v>45.551000000000002</v>
      </c>
      <c r="AB52" s="19"/>
      <c r="AC52" s="45">
        <f>X52*(1+AC53)</f>
        <v>41.699599999999997</v>
      </c>
      <c r="AD52" s="45">
        <f t="shared" ref="AD52" si="116">Y52*(1+AD53)</f>
        <v>42.618870000000001</v>
      </c>
      <c r="AE52" s="45">
        <f t="shared" ref="AE52" si="117">Z52*(1+AE53)</f>
        <v>44.030519999999996</v>
      </c>
      <c r="AF52" s="45">
        <f t="shared" ref="AF52" si="118">AA52*(1+AF53)</f>
        <v>52.383649999999996</v>
      </c>
      <c r="AG52" s="19"/>
    </row>
    <row r="53" spans="1:33" ht="15.6" outlineLevel="1" x14ac:dyDescent="0.3">
      <c r="A53" s="137"/>
      <c r="B53" s="47" t="s">
        <v>142</v>
      </c>
      <c r="C53" s="48"/>
      <c r="D53" s="45"/>
      <c r="E53" s="45"/>
      <c r="F53" s="45"/>
      <c r="G53" s="45"/>
      <c r="H53" s="19"/>
      <c r="I53" s="55">
        <f>+I52/D52-1</f>
        <v>0.373698905109489</v>
      </c>
      <c r="J53" s="55">
        <f t="shared" ref="J53:L53" si="119">+J52/E52-1</f>
        <v>0.35153175591531749</v>
      </c>
      <c r="K53" s="55">
        <f t="shared" si="119"/>
        <v>0.35477528089887644</v>
      </c>
      <c r="L53" s="55">
        <f t="shared" si="119"/>
        <v>0.35092186128182612</v>
      </c>
      <c r="M53" s="19"/>
      <c r="N53" s="55">
        <f>+N52/I52-1</f>
        <v>0.38195664909197413</v>
      </c>
      <c r="O53" s="55">
        <f t="shared" ref="O53" si="120">+O52/J52-1</f>
        <v>0.33694530443756454</v>
      </c>
      <c r="P53" s="55">
        <f t="shared" ref="P53" si="121">+P52/K52-1</f>
        <v>0.3023584905660377</v>
      </c>
      <c r="Q53" s="55">
        <f t="shared" ref="Q53" si="122">+Q52/L52-1</f>
        <v>0.30269058295964113</v>
      </c>
      <c r="R53" s="19"/>
      <c r="S53" s="139">
        <f>+S52/N52-1</f>
        <v>0.27681220856295052</v>
      </c>
      <c r="T53" s="55">
        <f t="shared" ref="T53:V53" si="123">+T52/O52-1</f>
        <v>0.28406020841374002</v>
      </c>
      <c r="U53" s="55">
        <f t="shared" si="123"/>
        <v>0.25135820354943861</v>
      </c>
      <c r="V53" s="55">
        <f t="shared" si="123"/>
        <v>0.18789443488238655</v>
      </c>
      <c r="W53" s="19"/>
      <c r="X53" s="139">
        <f>+X52/S52-1</f>
        <v>0.13479415670650718</v>
      </c>
      <c r="Y53" s="59">
        <v>0.05</v>
      </c>
      <c r="Z53" s="59">
        <v>0.08</v>
      </c>
      <c r="AA53" s="59">
        <v>0.1</v>
      </c>
      <c r="AB53" s="19"/>
      <c r="AC53" s="59">
        <v>0.22</v>
      </c>
      <c r="AD53" s="59">
        <v>0.22</v>
      </c>
      <c r="AE53" s="59">
        <v>0.18</v>
      </c>
      <c r="AF53" s="59">
        <v>0.15</v>
      </c>
      <c r="AG53" s="19"/>
    </row>
    <row r="54" spans="1:33" outlineLevel="1" x14ac:dyDescent="0.3">
      <c r="A54" s="137"/>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41">
        <v>9.5500000000000007</v>
      </c>
      <c r="T54" s="45">
        <v>10.7</v>
      </c>
      <c r="U54" s="45">
        <v>10.68</v>
      </c>
      <c r="V54" s="45">
        <v>13.21</v>
      </c>
      <c r="W54" s="19"/>
      <c r="X54" s="45">
        <v>10.64</v>
      </c>
      <c r="Y54" s="45">
        <f t="shared" ref="Y54" si="124">T54*(1+Y55)</f>
        <v>11.77</v>
      </c>
      <c r="Z54" s="45">
        <f t="shared" ref="Z54" si="125">U54*(1+Z55)</f>
        <v>12.281999999999998</v>
      </c>
      <c r="AA54" s="45">
        <f t="shared" ref="AA54" si="126">V54*(1+AA55)</f>
        <v>15.5878</v>
      </c>
      <c r="AB54" s="19"/>
      <c r="AC54" s="45">
        <f>X54*(1+AC55)</f>
        <v>12.768000000000001</v>
      </c>
      <c r="AD54" s="45">
        <f t="shared" ref="AD54" si="127">Y54*(1+AD55)</f>
        <v>14.123999999999999</v>
      </c>
      <c r="AE54" s="45">
        <f t="shared" ref="AE54" si="128">Z54*(1+AE55)</f>
        <v>14.492759999999997</v>
      </c>
      <c r="AF54" s="45">
        <f t="shared" ref="AF54" si="129">AA54*(1+AF55)</f>
        <v>18.393604</v>
      </c>
      <c r="AG54" s="19"/>
    </row>
    <row r="55" spans="1:33" outlineLevel="1" x14ac:dyDescent="0.3">
      <c r="A55" s="137"/>
      <c r="B55" s="47" t="s">
        <v>145</v>
      </c>
      <c r="C55" s="71"/>
      <c r="D55" s="45"/>
      <c r="E55" s="45"/>
      <c r="F55" s="45"/>
      <c r="G55" s="45"/>
      <c r="H55" s="19"/>
      <c r="I55" s="55">
        <f>+I54/D54-1</f>
        <v>0.36018362662586068</v>
      </c>
      <c r="J55" s="55">
        <f t="shared" ref="J55" si="130">+J54/E54-1</f>
        <v>0.32929968454258685</v>
      </c>
      <c r="K55" s="55">
        <f t="shared" ref="K55" si="131">+K54/F54-1</f>
        <v>0.45109034267912751</v>
      </c>
      <c r="L55" s="55">
        <f t="shared" ref="L55" si="132">+L54/G54-1</f>
        <v>0.48238740920096834</v>
      </c>
      <c r="M55" s="19"/>
      <c r="N55" s="55">
        <f>+N54/I54-1</f>
        <v>0.49815498154981541</v>
      </c>
      <c r="O55" s="55">
        <f t="shared" ref="O55" si="133">+O54/J54-1</f>
        <v>0.39490445859872603</v>
      </c>
      <c r="P55" s="55">
        <f t="shared" ref="P55" si="134">+P54/K54-1</f>
        <v>0.28759124087591248</v>
      </c>
      <c r="Q55" s="55">
        <f t="shared" ref="Q55" si="135">+Q54/L54-1</f>
        <v>0.23927765237020338</v>
      </c>
      <c r="R55" s="19"/>
      <c r="S55" s="139">
        <f>+S54/N54-1</f>
        <v>0.17610837438423665</v>
      </c>
      <c r="T55" s="55">
        <f t="shared" ref="T55:V55" si="136">+T54/O54-1</f>
        <v>0.22146118721461172</v>
      </c>
      <c r="U55" s="55">
        <f t="shared" si="136"/>
        <v>0.21088435374149661</v>
      </c>
      <c r="V55" s="55">
        <f t="shared" si="136"/>
        <v>0.2030965391621129</v>
      </c>
      <c r="W55" s="19"/>
      <c r="X55" s="139">
        <f>+X54/S54-1</f>
        <v>0.11413612565445019</v>
      </c>
      <c r="Y55" s="59">
        <v>0.1</v>
      </c>
      <c r="Z55" s="59">
        <v>0.15</v>
      </c>
      <c r="AA55" s="59">
        <v>0.18</v>
      </c>
      <c r="AB55" s="19"/>
      <c r="AC55" s="59">
        <v>0.2</v>
      </c>
      <c r="AD55" s="59">
        <v>0.2</v>
      </c>
      <c r="AE55" s="59">
        <v>0.18</v>
      </c>
      <c r="AF55" s="59">
        <v>0.18</v>
      </c>
      <c r="AG55" s="19"/>
    </row>
    <row r="56" spans="1:33" outlineLevel="1" x14ac:dyDescent="0.3">
      <c r="A56" s="137"/>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41">
        <v>2.78</v>
      </c>
      <c r="T56" s="45">
        <v>3.04</v>
      </c>
      <c r="U56" s="45">
        <v>3.24</v>
      </c>
      <c r="V56" s="45">
        <v>3.57</v>
      </c>
      <c r="W56" s="19"/>
      <c r="X56" s="45">
        <v>3.06</v>
      </c>
      <c r="Y56" s="45">
        <f t="shared" ref="Y56" si="137">T56*(1+Y57)</f>
        <v>3.1920000000000002</v>
      </c>
      <c r="Z56" s="45">
        <f t="shared" ref="Z56" si="138">U56*(1+Z57)</f>
        <v>3.5640000000000005</v>
      </c>
      <c r="AA56" s="45">
        <f t="shared" ref="AA56" si="139">V56*(1+AA57)</f>
        <v>4.0340999999999996</v>
      </c>
      <c r="AB56" s="19"/>
      <c r="AC56" s="45">
        <f>X56*(1+AC57)</f>
        <v>3.5495999999999999</v>
      </c>
      <c r="AD56" s="45">
        <f t="shared" ref="AD56" si="140">Y56*(1+AD57)</f>
        <v>3.7665600000000001</v>
      </c>
      <c r="AE56" s="45">
        <f t="shared" ref="AE56" si="141">Z56*(1+AE57)</f>
        <v>4.2768000000000006</v>
      </c>
      <c r="AF56" s="45">
        <f t="shared" ref="AF56" si="142">AA56*(1+AF57)</f>
        <v>5.0022839999999995</v>
      </c>
      <c r="AG56" s="19"/>
    </row>
    <row r="57" spans="1:33" outlineLevel="1" x14ac:dyDescent="0.3">
      <c r="A57" s="137"/>
      <c r="B57" s="47" t="s">
        <v>144</v>
      </c>
      <c r="C57" s="71"/>
      <c r="D57" s="45"/>
      <c r="E57" s="45"/>
      <c r="F57" s="45"/>
      <c r="G57" s="45"/>
      <c r="H57" s="19"/>
      <c r="I57" s="55">
        <f>+I56/D56-1</f>
        <v>0.27023201856148504</v>
      </c>
      <c r="J57" s="55">
        <f t="shared" ref="J57" si="143">+J56/E56-1</f>
        <v>0.20319024390243889</v>
      </c>
      <c r="K57" s="55">
        <f t="shared" ref="K57" si="144">+K56/F56-1</f>
        <v>0.20089688041594456</v>
      </c>
      <c r="L57" s="55">
        <f t="shared" ref="L57" si="145">+L56/G56-1</f>
        <v>0.22612898443291329</v>
      </c>
      <c r="M57" s="19"/>
      <c r="N57" s="55">
        <f>+N56/I56-1</f>
        <v>0.24242424242424243</v>
      </c>
      <c r="O57" s="55">
        <f t="shared" ref="O57" si="146">+O56/J56-1</f>
        <v>0.23004694835680772</v>
      </c>
      <c r="P57" s="55">
        <f t="shared" ref="P57" si="147">+P56/K56-1</f>
        <v>0.17621145374449343</v>
      </c>
      <c r="Q57" s="55">
        <f t="shared" ref="Q57" si="148">+Q56/L56-1</f>
        <v>0.16535433070866135</v>
      </c>
      <c r="R57" s="19"/>
      <c r="S57" s="139">
        <f>+S56/N56-1</f>
        <v>0.13008130081300817</v>
      </c>
      <c r="T57" s="55">
        <f t="shared" ref="T57:V57" si="149">+T56/O56-1</f>
        <v>0.16030534351145032</v>
      </c>
      <c r="U57" s="55">
        <f t="shared" si="149"/>
        <v>0.21348314606741581</v>
      </c>
      <c r="V57" s="55">
        <f t="shared" si="149"/>
        <v>0.20608108108108114</v>
      </c>
      <c r="W57" s="22"/>
      <c r="X57" s="139">
        <f>+X56/S56-1</f>
        <v>0.10071942446043169</v>
      </c>
      <c r="Y57" s="59">
        <v>0.05</v>
      </c>
      <c r="Z57" s="59">
        <v>0.1</v>
      </c>
      <c r="AA57" s="59">
        <v>0.13</v>
      </c>
      <c r="AB57" s="19"/>
      <c r="AC57" s="59">
        <v>0.16</v>
      </c>
      <c r="AD57" s="59">
        <v>0.18</v>
      </c>
      <c r="AE57" s="59">
        <v>0.2</v>
      </c>
      <c r="AF57" s="59">
        <v>0.24</v>
      </c>
      <c r="AG57" s="19"/>
    </row>
    <row r="58" spans="1:33" outlineLevel="1" x14ac:dyDescent="0.3">
      <c r="A58" s="137"/>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41">
        <v>1.89</v>
      </c>
      <c r="T58" s="45">
        <v>2.13</v>
      </c>
      <c r="U58" s="45">
        <v>2.2400000000000002</v>
      </c>
      <c r="V58" s="45">
        <v>2.48</v>
      </c>
      <c r="W58" s="19"/>
      <c r="X58" s="45">
        <v>1.99</v>
      </c>
      <c r="Y58" s="45">
        <f t="shared" ref="Y58" si="150">T58*(1+Y59)</f>
        <v>2.1938999999999997</v>
      </c>
      <c r="Z58" s="45">
        <f t="shared" ref="Z58" si="151">U58*(1+Z59)</f>
        <v>2.3520000000000003</v>
      </c>
      <c r="AA58" s="45">
        <f t="shared" ref="AA58" si="152">V58*(1+AA59)</f>
        <v>2.6463246119511528</v>
      </c>
      <c r="AB58" s="19"/>
      <c r="AC58" s="45">
        <f>X58*(1+AC59)</f>
        <v>2.1890000000000001</v>
      </c>
      <c r="AD58" s="45">
        <f t="shared" ref="AD58" si="153">Y58*(1+AD59)</f>
        <v>2.5229849999999994</v>
      </c>
      <c r="AE58" s="45">
        <f t="shared" ref="AE58" si="154">Z58*(1+AE59)</f>
        <v>2.8224000000000005</v>
      </c>
      <c r="AF58" s="45">
        <f t="shared" ref="AF58" si="155">AA58*(1+AF59)</f>
        <v>3.2814425188194294</v>
      </c>
      <c r="AG58" s="19"/>
    </row>
    <row r="59" spans="1:33" ht="16.2" outlineLevel="1" x14ac:dyDescent="0.45">
      <c r="A59" s="137"/>
      <c r="B59" s="47" t="s">
        <v>143</v>
      </c>
      <c r="C59" s="71"/>
      <c r="D59" s="97"/>
      <c r="E59" s="97"/>
      <c r="F59" s="97"/>
      <c r="G59" s="97"/>
      <c r="H59" s="98"/>
      <c r="I59" s="55">
        <f>+I58/D58-1</f>
        <v>0.39887949260042288</v>
      </c>
      <c r="J59" s="55">
        <f t="shared" ref="J59" si="156">+J58/E58-1</f>
        <v>0.3124755700325732</v>
      </c>
      <c r="K59" s="55">
        <f t="shared" ref="K59" si="157">+K58/F58-1</f>
        <v>0.31312861271676296</v>
      </c>
      <c r="L59" s="55">
        <f t="shared" ref="L59" si="158">+L58/G58-1</f>
        <v>0.32283909415971412</v>
      </c>
      <c r="M59" s="98"/>
      <c r="N59" s="55">
        <f>+N58/I58-1</f>
        <v>0.32283464566929121</v>
      </c>
      <c r="O59" s="55">
        <f t="shared" ref="O59" si="159">+O58/J58-1</f>
        <v>0.29054054054054057</v>
      </c>
      <c r="P59" s="55">
        <f t="shared" ref="P59" si="160">+P58/K58-1</f>
        <v>0.14465408805031443</v>
      </c>
      <c r="Q59" s="55">
        <f t="shared" ref="Q59" si="161">+Q58/L58-1</f>
        <v>0.13440860215053752</v>
      </c>
      <c r="R59" s="98"/>
      <c r="S59" s="139">
        <f>+S58/N58-1</f>
        <v>0.125</v>
      </c>
      <c r="T59" s="55">
        <f t="shared" ref="T59:V59" si="162">+T58/O58-1</f>
        <v>0.11518324607329844</v>
      </c>
      <c r="U59" s="55">
        <f t="shared" si="162"/>
        <v>0.23076923076923084</v>
      </c>
      <c r="V59" s="55">
        <f t="shared" si="162"/>
        <v>0.17535545023696697</v>
      </c>
      <c r="W59" s="98"/>
      <c r="X59" s="139">
        <f>+X58/S58-1</f>
        <v>5.2910052910053018E-2</v>
      </c>
      <c r="Y59" s="59">
        <v>0.03</v>
      </c>
      <c r="Z59" s="59">
        <v>0.05</v>
      </c>
      <c r="AA59" s="59">
        <f>AVERAGE(V59,X59,Y59,Z59)-1%</f>
        <v>6.7066375786755006E-2</v>
      </c>
      <c r="AB59" s="19"/>
      <c r="AC59" s="59">
        <v>0.1</v>
      </c>
      <c r="AD59" s="59">
        <v>0.15</v>
      </c>
      <c r="AE59" s="59">
        <v>0.2</v>
      </c>
      <c r="AF59" s="59">
        <v>0.24</v>
      </c>
      <c r="AG59" s="19"/>
    </row>
    <row r="60" spans="1:33" outlineLevel="1" x14ac:dyDescent="0.3">
      <c r="A60" s="137"/>
      <c r="B60" s="78" t="s">
        <v>90</v>
      </c>
      <c r="C60" s="71"/>
      <c r="D60" s="43"/>
      <c r="E60" s="43">
        <f>+E40/((D50+E50)/2)</f>
        <v>3.8241235888294711</v>
      </c>
      <c r="F60" s="43">
        <f t="shared" ref="F60:G60" si="163">+F40/((E50+F50)/2)</f>
        <v>4.007430694484138</v>
      </c>
      <c r="G60" s="43">
        <f t="shared" si="163"/>
        <v>4.831084786662279</v>
      </c>
      <c r="H60" s="19"/>
      <c r="I60" s="43">
        <f>+I40/((G50+I50)/2)</f>
        <v>4.2320459455187311</v>
      </c>
      <c r="J60" s="43">
        <f>+J40/((I50+J50)/2)</f>
        <v>4.7290715372907153</v>
      </c>
      <c r="K60" s="43">
        <f t="shared" ref="K60:L60" si="164">+K40/((J50+K50)/2)</f>
        <v>5.0652280529671412</v>
      </c>
      <c r="L60" s="43">
        <f t="shared" si="164"/>
        <v>6.1756724589383483</v>
      </c>
      <c r="M60" s="19"/>
      <c r="N60" s="43">
        <f>+N40/((L50+N50)/2)</f>
        <v>5.5334104046242771</v>
      </c>
      <c r="O60" s="43">
        <f>+O40/((N50+O50)/2)</f>
        <v>5.9733634311512418</v>
      </c>
      <c r="P60" s="43">
        <f t="shared" ref="P60:Q60" si="165">+P40/((O50+P50)/2)</f>
        <v>6.0954706927175843</v>
      </c>
      <c r="Q60" s="43">
        <f t="shared" si="165"/>
        <v>7.3699346405228754</v>
      </c>
      <c r="R60" s="19"/>
      <c r="S60" s="135">
        <f>+S40/((Q50+S50)/2)</f>
        <v>6.4212095400340718</v>
      </c>
      <c r="T60" s="43">
        <f>+T40/((S50+T50)/2)</f>
        <v>7.0505219206680581</v>
      </c>
      <c r="U60" s="43">
        <f t="shared" ref="U60:V60" si="166">+U40/((T50+U50)/2)</f>
        <v>7.2597162245527453</v>
      </c>
      <c r="V60" s="43">
        <f t="shared" si="166"/>
        <v>8.5234899328859051</v>
      </c>
      <c r="W60" s="19"/>
      <c r="X60" s="43">
        <f>+X40/((V50+X50)/2)</f>
        <v>6.954595357590966</v>
      </c>
      <c r="Y60" s="43">
        <f>+Y40/((X50+Y50)/2)</f>
        <v>7.2543941216535019</v>
      </c>
      <c r="Z60" s="43">
        <f t="shared" ref="Z60:AA60" si="167">+Z40/((Y50+Z50)/2)</f>
        <v>7.7452778817382857</v>
      </c>
      <c r="AA60" s="43">
        <f t="shared" si="167"/>
        <v>9.2823616954759451</v>
      </c>
      <c r="AB60" s="19"/>
      <c r="AC60" s="43">
        <f>+AC40/((AA50+AC50)/2)</f>
        <v>7.9902158352526529</v>
      </c>
      <c r="AD60" s="43">
        <f>+AD40/((AC50+AD50)/2)</f>
        <v>8.3532216412000366</v>
      </c>
      <c r="AE60" s="43">
        <f t="shared" ref="AE60:AF60" si="168">+AE40/((AD50+AE50)/2)</f>
        <v>8.8329654098563779</v>
      </c>
      <c r="AF60" s="43">
        <f t="shared" si="168"/>
        <v>10.599089705401417</v>
      </c>
      <c r="AG60" s="19"/>
    </row>
    <row r="61" spans="1:33" ht="17.399999999999999" x14ac:dyDescent="0.45">
      <c r="A61" s="137"/>
      <c r="B61" s="205" t="s">
        <v>26</v>
      </c>
      <c r="C61" s="206"/>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141</v>
      </c>
      <c r="T61" s="27" t="s">
        <v>147</v>
      </c>
      <c r="U61" s="27" t="s">
        <v>148</v>
      </c>
      <c r="V61" s="27" t="s">
        <v>149</v>
      </c>
      <c r="W61" s="80" t="s">
        <v>150</v>
      </c>
      <c r="X61" s="27" t="s">
        <v>151</v>
      </c>
      <c r="Y61" s="25" t="s">
        <v>106</v>
      </c>
      <c r="Z61" s="25" t="s">
        <v>107</v>
      </c>
      <c r="AA61" s="25" t="s">
        <v>108</v>
      </c>
      <c r="AB61" s="82" t="s">
        <v>109</v>
      </c>
      <c r="AC61" s="25" t="s">
        <v>110</v>
      </c>
      <c r="AD61" s="25" t="s">
        <v>111</v>
      </c>
      <c r="AE61" s="25" t="s">
        <v>112</v>
      </c>
      <c r="AF61" s="25" t="s">
        <v>113</v>
      </c>
      <c r="AG61" s="82" t="s">
        <v>114</v>
      </c>
    </row>
    <row r="62" spans="1:33" s="52" customFormat="1" ht="15.45" customHeight="1" outlineLevel="1" x14ac:dyDescent="0.3">
      <c r="A62" s="142"/>
      <c r="B62" s="70" t="s">
        <v>19</v>
      </c>
      <c r="C62" s="48"/>
      <c r="D62" s="45">
        <f>+D40-D13</f>
        <v>0</v>
      </c>
      <c r="E62" s="45">
        <f t="shared" ref="E62:G62" si="169">+E40-E13</f>
        <v>0</v>
      </c>
      <c r="F62" s="45">
        <f t="shared" si="169"/>
        <v>0</v>
      </c>
      <c r="G62" s="45">
        <f t="shared" si="169"/>
        <v>0</v>
      </c>
      <c r="H62" s="19"/>
      <c r="I62" s="45">
        <f>+I40-I13</f>
        <v>0</v>
      </c>
      <c r="J62" s="45">
        <f t="shared" ref="J62:L62" si="170">+J40-J13</f>
        <v>0</v>
      </c>
      <c r="K62" s="45">
        <f t="shared" si="170"/>
        <v>0</v>
      </c>
      <c r="L62" s="45">
        <f t="shared" si="170"/>
        <v>0</v>
      </c>
      <c r="M62" s="19"/>
      <c r="N62" s="45">
        <f>+N40-N13</f>
        <v>0</v>
      </c>
      <c r="O62" s="45">
        <f t="shared" ref="O62:Q62" si="171">+O40-O13</f>
        <v>0</v>
      </c>
      <c r="P62" s="45">
        <f t="shared" si="171"/>
        <v>0</v>
      </c>
      <c r="Q62" s="45">
        <f t="shared" si="171"/>
        <v>0</v>
      </c>
      <c r="R62" s="19"/>
      <c r="S62" s="45">
        <f>+S40-S13</f>
        <v>0</v>
      </c>
      <c r="T62" s="45">
        <f t="shared" ref="T62:V62" si="172">+T40-T13</f>
        <v>0</v>
      </c>
      <c r="U62" s="45">
        <f t="shared" si="172"/>
        <v>0</v>
      </c>
      <c r="V62" s="45">
        <f t="shared" si="172"/>
        <v>0</v>
      </c>
      <c r="W62" s="19"/>
      <c r="X62" s="45">
        <f>+X40-X13</f>
        <v>0</v>
      </c>
      <c r="Y62" s="45">
        <f t="shared" ref="Y62:AA62" si="173">+Y40-Y13</f>
        <v>0</v>
      </c>
      <c r="Z62" s="45">
        <f t="shared" si="173"/>
        <v>0</v>
      </c>
      <c r="AA62" s="45">
        <f t="shared" si="173"/>
        <v>0</v>
      </c>
      <c r="AB62" s="19"/>
      <c r="AC62" s="45">
        <f>+AC40-AC13</f>
        <v>0</v>
      </c>
      <c r="AD62" s="45">
        <f t="shared" ref="AD62:AF62" si="174">+AD40-AD13</f>
        <v>0</v>
      </c>
      <c r="AE62" s="45">
        <f t="shared" si="174"/>
        <v>0</v>
      </c>
      <c r="AF62" s="45">
        <f t="shared" si="174"/>
        <v>0</v>
      </c>
      <c r="AG62" s="19"/>
    </row>
    <row r="63" spans="1:33" ht="15" customHeight="1" x14ac:dyDescent="0.45">
      <c r="A63" s="137"/>
      <c r="B63" s="205" t="s">
        <v>16</v>
      </c>
      <c r="C63" s="206"/>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141</v>
      </c>
      <c r="T63" s="27" t="s">
        <v>147</v>
      </c>
      <c r="U63" s="27" t="s">
        <v>148</v>
      </c>
      <c r="V63" s="27" t="s">
        <v>149</v>
      </c>
      <c r="W63" s="80" t="s">
        <v>150</v>
      </c>
      <c r="X63" s="27" t="s">
        <v>151</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44"/>
      <c r="B64" s="210" t="s">
        <v>101</v>
      </c>
      <c r="C64" s="211"/>
      <c r="D64" s="55"/>
      <c r="E64" s="55"/>
      <c r="F64" s="55"/>
      <c r="G64" s="55"/>
      <c r="H64" s="53"/>
      <c r="I64" s="55">
        <f t="shared" ref="I64:AG64" si="175">I13/D13-1</f>
        <v>0.49238201412114457</v>
      </c>
      <c r="J64" s="55">
        <f t="shared" si="175"/>
        <v>0.44825978868862637</v>
      </c>
      <c r="K64" s="55">
        <f t="shared" si="175"/>
        <v>0.47311367850520614</v>
      </c>
      <c r="L64" s="55">
        <f t="shared" si="175"/>
        <v>0.47258485639686687</v>
      </c>
      <c r="M64" s="53">
        <f t="shared" si="175"/>
        <v>0.47090961719371882</v>
      </c>
      <c r="N64" s="55">
        <f t="shared" si="175"/>
        <v>0.48979083665338652</v>
      </c>
      <c r="O64" s="55">
        <f t="shared" si="175"/>
        <v>0.41948288810213485</v>
      </c>
      <c r="P64" s="55">
        <f t="shared" si="175"/>
        <v>0.32910534469403574</v>
      </c>
      <c r="Q64" s="55">
        <f t="shared" si="175"/>
        <v>0.30388529139685483</v>
      </c>
      <c r="R64" s="54">
        <f t="shared" si="175"/>
        <v>0.37352716896661997</v>
      </c>
      <c r="S64" s="55">
        <f t="shared" si="175"/>
        <v>0.25998662878154777</v>
      </c>
      <c r="T64" s="55">
        <f t="shared" si="175"/>
        <v>0.2762451817700855</v>
      </c>
      <c r="U64" s="55">
        <f t="shared" si="175"/>
        <v>0.2859328331026445</v>
      </c>
      <c r="V64" s="55">
        <f t="shared" si="175"/>
        <v>0.2464230814709707</v>
      </c>
      <c r="W64" s="54">
        <f t="shared" si="175"/>
        <v>0.26610910132884413</v>
      </c>
      <c r="X64" s="55">
        <f t="shared" si="175"/>
        <v>0.17642767128739134</v>
      </c>
      <c r="Y64" s="55">
        <f t="shared" si="175"/>
        <v>0.12906658054009257</v>
      </c>
      <c r="Z64" s="55">
        <f t="shared" si="175"/>
        <v>0.16652827158395644</v>
      </c>
      <c r="AA64" s="55">
        <f t="shared" si="175"/>
        <v>0.18367931661550774</v>
      </c>
      <c r="AB64" s="53">
        <f t="shared" si="175"/>
        <v>0.16480618246726353</v>
      </c>
      <c r="AC64" s="55">
        <f t="shared" si="175"/>
        <v>0.24120650079739447</v>
      </c>
      <c r="AD64" s="55">
        <f t="shared" si="175"/>
        <v>0.23787857729069328</v>
      </c>
      <c r="AE64" s="55">
        <f t="shared" si="175"/>
        <v>0.22807209210291357</v>
      </c>
      <c r="AF64" s="55">
        <f t="shared" si="175"/>
        <v>0.23274873257836926</v>
      </c>
      <c r="AG64" s="53">
        <f t="shared" si="175"/>
        <v>0.23458870688215372</v>
      </c>
    </row>
    <row r="65" spans="1:33" s="42" customFormat="1" outlineLevel="1" x14ac:dyDescent="0.3">
      <c r="A65" s="144"/>
      <c r="B65" s="210" t="s">
        <v>102</v>
      </c>
      <c r="C65" s="211"/>
      <c r="D65" s="55"/>
      <c r="E65" s="55">
        <f>+E13/D13-1</f>
        <v>0.19583797844667417</v>
      </c>
      <c r="F65" s="55">
        <f t="shared" ref="F65:L65" si="176">+F13/E13-1</f>
        <v>8.9341205717837102E-2</v>
      </c>
      <c r="G65" s="55">
        <f t="shared" si="176"/>
        <v>0.25645414348880324</v>
      </c>
      <c r="H65" s="53"/>
      <c r="I65" s="55">
        <f>+I13/G13-1</f>
        <v>-8.8205244636167524E-2</v>
      </c>
      <c r="J65" s="55">
        <f t="shared" si="176"/>
        <v>0.16048306772908361</v>
      </c>
      <c r="K65" s="55">
        <f t="shared" si="176"/>
        <v>0.10803561849586951</v>
      </c>
      <c r="L65" s="55">
        <f t="shared" si="176"/>
        <v>0.25600309837335389</v>
      </c>
      <c r="M65" s="53"/>
      <c r="N65" s="55">
        <f>+N13/L13-1</f>
        <v>-7.755164970706141E-2</v>
      </c>
      <c r="O65" s="55">
        <f t="shared" ref="O65:Q65" si="177">+O13/N13-1</f>
        <v>0.10571619588835035</v>
      </c>
      <c r="P65" s="55">
        <f t="shared" si="177"/>
        <v>3.7487718237472656E-2</v>
      </c>
      <c r="Q65" s="55">
        <f t="shared" si="177"/>
        <v>0.23217017556640207</v>
      </c>
      <c r="R65" s="54"/>
      <c r="S65" s="55">
        <f>+S13/Q13-1</f>
        <v>-0.10860825351779591</v>
      </c>
      <c r="T65" s="55">
        <f t="shared" ref="T65:V65" si="178">+T13/S13-1</f>
        <v>0.11998408171386887</v>
      </c>
      <c r="U65" s="55">
        <f t="shared" si="178"/>
        <v>4.536302262229075E-2</v>
      </c>
      <c r="V65" s="55">
        <f t="shared" si="178"/>
        <v>0.19431225923408113</v>
      </c>
      <c r="W65" s="54"/>
      <c r="X65" s="55">
        <f>+X13/V13-1</f>
        <v>-0.15866616070581541</v>
      </c>
      <c r="Y65" s="55">
        <f t="shared" ref="Y65:AA65" si="179">+Y13/X13-1</f>
        <v>7.4895319332468846E-2</v>
      </c>
      <c r="Z65" s="55">
        <f t="shared" si="179"/>
        <v>8.0047484333506391E-2</v>
      </c>
      <c r="AA65" s="55">
        <f t="shared" si="179"/>
        <v>0.21187180222916324</v>
      </c>
      <c r="AB65" s="53"/>
      <c r="AC65" s="55">
        <f>+AC13/AA13-1</f>
        <v>-0.11777707355853018</v>
      </c>
      <c r="AD65" s="55">
        <f t="shared" ref="AD65:AF65" si="180">+AD13/AC13-1</f>
        <v>7.2013309450832619E-2</v>
      </c>
      <c r="AE65" s="55">
        <f t="shared" si="180"/>
        <v>7.1491338479204192E-2</v>
      </c>
      <c r="AF65" s="55">
        <f t="shared" si="180"/>
        <v>0.21648675012824259</v>
      </c>
      <c r="AG65" s="53"/>
    </row>
    <row r="66" spans="1:33" s="42" customFormat="1" outlineLevel="1" x14ac:dyDescent="0.3">
      <c r="A66" s="144"/>
      <c r="B66" s="70" t="s">
        <v>105</v>
      </c>
      <c r="C66" s="71"/>
      <c r="D66" s="55"/>
      <c r="E66" s="55"/>
      <c r="F66" s="55"/>
      <c r="G66" s="55"/>
      <c r="H66" s="53"/>
      <c r="I66" s="55"/>
      <c r="J66" s="55"/>
      <c r="K66" s="55"/>
      <c r="L66" s="55"/>
      <c r="M66" s="53"/>
      <c r="N66" s="111">
        <f>+N84+N13</f>
        <v>11430</v>
      </c>
      <c r="O66" s="111">
        <f>+O84+O13</f>
        <v>12858</v>
      </c>
      <c r="P66" s="111">
        <f>+P84+P13</f>
        <v>13886</v>
      </c>
      <c r="Q66" s="111">
        <f>+Q84+Q13</f>
        <v>17262</v>
      </c>
      <c r="R66" s="54"/>
      <c r="S66" s="29">
        <f>+S84+S13</f>
        <v>15580</v>
      </c>
      <c r="T66" s="29">
        <f>+T84+T13</f>
        <v>17460</v>
      </c>
      <c r="U66" s="29">
        <f>+U84+U13</f>
        <v>17949</v>
      </c>
      <c r="V66" s="29">
        <f>+V84+V13</f>
        <v>21377</v>
      </c>
      <c r="W66" s="30">
        <f>SUM(S66:V66)</f>
        <v>72366</v>
      </c>
      <c r="X66" s="29">
        <f>+X84+X13</f>
        <v>18012</v>
      </c>
      <c r="Y66" s="29">
        <f>+Y84+Y13</f>
        <v>19340.418279000001</v>
      </c>
      <c r="Z66" s="29">
        <f>+Z84+Z13</f>
        <v>20741.557049999999</v>
      </c>
      <c r="AA66" s="29">
        <f>+AA84+AA13</f>
        <v>25054.327352888133</v>
      </c>
      <c r="AB66" s="30">
        <f>SUM(X66:AA66)</f>
        <v>83148.302681888134</v>
      </c>
      <c r="AC66" s="29">
        <f>+AC84+AC13</f>
        <v>22065.279704643384</v>
      </c>
      <c r="AD66" s="29">
        <f>+AD84+AD13</f>
        <v>23650.672854660501</v>
      </c>
      <c r="AE66" s="29">
        <f>+AE84+AE13</f>
        <v>25337.916546050001</v>
      </c>
      <c r="AF66" s="29">
        <f>+AF84+AF13</f>
        <v>30812.41541661858</v>
      </c>
      <c r="AG66" s="30">
        <f>SUM(AC66:AF66)</f>
        <v>101866.28452197247</v>
      </c>
    </row>
    <row r="67" spans="1:33" s="42" customFormat="1" outlineLevel="1" x14ac:dyDescent="0.3">
      <c r="A67" s="144"/>
      <c r="B67" s="210" t="s">
        <v>103</v>
      </c>
      <c r="C67" s="211"/>
      <c r="D67" s="55"/>
      <c r="E67" s="55"/>
      <c r="F67" s="55"/>
      <c r="G67" s="55"/>
      <c r="H67" s="53"/>
      <c r="I67" s="55"/>
      <c r="J67" s="55"/>
      <c r="K67" s="55"/>
      <c r="L67" s="55"/>
      <c r="M67" s="53"/>
      <c r="N67" s="55"/>
      <c r="O67" s="55"/>
      <c r="P67" s="55"/>
      <c r="Q67" s="55"/>
      <c r="R67" s="54">
        <f>+(R13+R84)/(M13+M84)-1</f>
        <v>0.36366319828794924</v>
      </c>
      <c r="S67" s="55">
        <f>+S66/N13-1</f>
        <v>0.30202239679090748</v>
      </c>
      <c r="T67" s="55">
        <f t="shared" ref="T67:V67" si="181">+T66/O13-1</f>
        <v>0.31962814602070888</v>
      </c>
      <c r="U67" s="55">
        <f t="shared" si="181"/>
        <v>0.30756902455015656</v>
      </c>
      <c r="V67" s="55">
        <f t="shared" si="181"/>
        <v>0.26386425446375794</v>
      </c>
      <c r="W67" s="146">
        <f>+W66/R13-1</f>
        <v>0.29599914037035702</v>
      </c>
      <c r="X67" s="55">
        <f>+X66/S13-1</f>
        <v>0.19466737414605029</v>
      </c>
      <c r="Y67" s="55">
        <f t="shared" ref="Y67" si="182">+Y66/T13-1</f>
        <v>0.14535226098543186</v>
      </c>
      <c r="Z67" s="55">
        <f t="shared" ref="Z67" si="183">+Z66/U13-1</f>
        <v>0.17502589225016996</v>
      </c>
      <c r="AA67" s="55">
        <f t="shared" ref="AA67" si="184">+AA66/V13-1</f>
        <v>0.18842269959624947</v>
      </c>
      <c r="AB67" s="146">
        <f>+AB66/W13-1</f>
        <v>0.17612207988865336</v>
      </c>
      <c r="AC67" s="55">
        <f>+AC66/X13-1</f>
        <v>0.24402546680066428</v>
      </c>
      <c r="AD67" s="55">
        <f t="shared" ref="AD67" si="185">+AD66/Y13-1</f>
        <v>0.24050112662416767</v>
      </c>
      <c r="AE67" s="55">
        <f t="shared" ref="AE67" si="186">+AE66/Z13-1</f>
        <v>0.23050027176308174</v>
      </c>
      <c r="AF67" s="55">
        <f t="shared" ref="AF67" si="187">+AF66/AA13-1</f>
        <v>0.23475239307752571</v>
      </c>
      <c r="AG67" s="146">
        <f>+AG66/AB13-1</f>
        <v>0.23701741510668883</v>
      </c>
    </row>
    <row r="68" spans="1:33" s="42" customFormat="1" outlineLevel="1" x14ac:dyDescent="0.3">
      <c r="A68" s="144"/>
      <c r="B68" s="210" t="s">
        <v>104</v>
      </c>
      <c r="C68" s="211"/>
      <c r="D68" s="55"/>
      <c r="E68" s="55"/>
      <c r="F68" s="55"/>
      <c r="G68" s="55"/>
      <c r="H68" s="53"/>
      <c r="I68" s="55"/>
      <c r="J68" s="55"/>
      <c r="K68" s="55"/>
      <c r="L68" s="55"/>
      <c r="M68" s="53"/>
      <c r="N68" s="55"/>
      <c r="O68" s="55"/>
      <c r="P68" s="55"/>
      <c r="Q68" s="55"/>
      <c r="R68" s="54"/>
      <c r="S68" s="55">
        <f>+S66/Q66-1</f>
        <v>-9.7439462402966082E-2</v>
      </c>
      <c r="T68" s="55">
        <f>+T66/S66-1</f>
        <v>0.12066752246469825</v>
      </c>
      <c r="U68" s="55">
        <f t="shared" ref="U68:V68" si="188">+U66/T66-1</f>
        <v>2.8006872852233577E-2</v>
      </c>
      <c r="V68" s="55">
        <f t="shared" si="188"/>
        <v>0.19098557022675355</v>
      </c>
      <c r="W68" s="146"/>
      <c r="X68" s="55"/>
      <c r="Y68" s="55"/>
      <c r="Z68" s="55"/>
      <c r="AA68" s="55"/>
      <c r="AB68" s="53"/>
      <c r="AC68" s="55"/>
      <c r="AD68" s="55"/>
      <c r="AE68" s="55"/>
      <c r="AF68" s="55"/>
      <c r="AG68" s="53"/>
    </row>
    <row r="69" spans="1:33" s="42" customFormat="1" outlineLevel="1" x14ac:dyDescent="0.3">
      <c r="A69" s="144"/>
      <c r="B69" s="70" t="s">
        <v>91</v>
      </c>
      <c r="C69" s="71"/>
      <c r="D69" s="55">
        <f t="shared" ref="D69:R69" si="189">+D15/D13</f>
        <v>0.84429580081753997</v>
      </c>
      <c r="E69" s="55">
        <f t="shared" si="189"/>
        <v>0.8576755748912368</v>
      </c>
      <c r="F69" s="55">
        <f t="shared" si="189"/>
        <v>0.85922122379118526</v>
      </c>
      <c r="G69" s="55">
        <f t="shared" si="189"/>
        <v>0.88103076399137248</v>
      </c>
      <c r="H69" s="53">
        <f t="shared" si="189"/>
        <v>0.86290614371517471</v>
      </c>
      <c r="I69" s="55">
        <f t="shared" si="189"/>
        <v>0.85570219123505975</v>
      </c>
      <c r="J69" s="55">
        <f t="shared" si="189"/>
        <v>0.86728891749812254</v>
      </c>
      <c r="K69" s="55">
        <f t="shared" si="189"/>
        <v>0.85979860573199074</v>
      </c>
      <c r="L69" s="55">
        <f t="shared" si="189"/>
        <v>0.87580943570767811</v>
      </c>
      <c r="M69" s="53">
        <f t="shared" si="189"/>
        <v>0.86581556096721024</v>
      </c>
      <c r="N69" s="55">
        <f t="shared" si="189"/>
        <v>0.8389603877653351</v>
      </c>
      <c r="O69" s="55">
        <f t="shared" si="189"/>
        <v>0.83266570931902351</v>
      </c>
      <c r="P69" s="55">
        <f t="shared" si="189"/>
        <v>0.82385080498288044</v>
      </c>
      <c r="Q69" s="55">
        <f t="shared" si="189"/>
        <v>0.83469315360056762</v>
      </c>
      <c r="R69" s="54">
        <f t="shared" si="189"/>
        <v>0.8324617643898421</v>
      </c>
      <c r="S69" s="143">
        <f>+S15/S13</f>
        <v>0.81322544272733299</v>
      </c>
      <c r="T69" s="55">
        <f t="shared" ref="T69:U69" si="190">+T15/T13</f>
        <v>0.80415729006277392</v>
      </c>
      <c r="U69" s="55">
        <f t="shared" si="190"/>
        <v>0.82126671198731027</v>
      </c>
      <c r="V69" s="55">
        <f t="shared" ref="V69" si="191">+V15/V13</f>
        <v>0.83436106631249407</v>
      </c>
      <c r="W69" s="146">
        <f>+W15/W13</f>
        <v>0.81936998741106415</v>
      </c>
      <c r="X69" s="143">
        <f>+X15/X13</f>
        <v>0.80498393189378137</v>
      </c>
      <c r="Y69" s="60">
        <v>0.79</v>
      </c>
      <c r="Z69" s="60">
        <v>0.79500000000000004</v>
      </c>
      <c r="AA69" s="60">
        <v>0.81</v>
      </c>
      <c r="AB69" s="54">
        <f>+AB15/AB13</f>
        <v>0.80053833903122606</v>
      </c>
      <c r="AC69" s="60">
        <v>0.80500000000000005</v>
      </c>
      <c r="AD69" s="60">
        <v>0.81499999999999995</v>
      </c>
      <c r="AE69" s="60">
        <v>0.81499999999999995</v>
      </c>
      <c r="AF69" s="60">
        <v>0.81499999999999995</v>
      </c>
      <c r="AG69" s="54">
        <f>+AG15/AG13</f>
        <v>0.81283455451252518</v>
      </c>
    </row>
    <row r="70" spans="1:33" s="42" customFormat="1" outlineLevel="1" x14ac:dyDescent="0.3">
      <c r="A70" s="144"/>
      <c r="B70" s="70" t="s">
        <v>92</v>
      </c>
      <c r="C70" s="71"/>
      <c r="D70" s="55">
        <f t="shared" ref="D70:R70" si="192">+D17/D13</f>
        <v>0.24953548866592346</v>
      </c>
      <c r="E70" s="55">
        <f t="shared" si="192"/>
        <v>0.22731510254816656</v>
      </c>
      <c r="F70" s="55">
        <f t="shared" si="192"/>
        <v>0.21951219512195122</v>
      </c>
      <c r="G70" s="55">
        <f t="shared" si="192"/>
        <v>0.17868089453967534</v>
      </c>
      <c r="H70" s="53">
        <f t="shared" si="192"/>
        <v>0.21416166148057023</v>
      </c>
      <c r="I70" s="55">
        <f t="shared" si="192"/>
        <v>0.22833665338645417</v>
      </c>
      <c r="J70" s="55">
        <f t="shared" si="192"/>
        <v>0.20587919751099668</v>
      </c>
      <c r="K70" s="55">
        <f t="shared" si="192"/>
        <v>0.19868319132455461</v>
      </c>
      <c r="L70" s="55">
        <f t="shared" si="192"/>
        <v>0.15024668516805428</v>
      </c>
      <c r="M70" s="53">
        <f t="shared" si="192"/>
        <v>0.19073623102846038</v>
      </c>
      <c r="N70" s="55">
        <f t="shared" si="192"/>
        <v>0.18702991810128697</v>
      </c>
      <c r="O70" s="55">
        <f t="shared" si="192"/>
        <v>0.19068853450230519</v>
      </c>
      <c r="P70" s="55">
        <f t="shared" si="192"/>
        <v>0.19356013695636337</v>
      </c>
      <c r="Q70" s="55">
        <f t="shared" si="192"/>
        <v>0.16879508099798984</v>
      </c>
      <c r="R70" s="54">
        <f t="shared" si="192"/>
        <v>0.18397865253053475</v>
      </c>
      <c r="S70" s="55">
        <f t="shared" ref="S70:T70" si="193">+S17/S13</f>
        <v>0.1896929097300524</v>
      </c>
      <c r="T70" s="55">
        <f t="shared" si="193"/>
        <v>0.19631647518654508</v>
      </c>
      <c r="U70" s="55">
        <f t="shared" ref="U70:V70" si="194">+U17/U13</f>
        <v>0.20099705415816904</v>
      </c>
      <c r="V70" s="55">
        <f t="shared" si="194"/>
        <v>0.1839009581633621</v>
      </c>
      <c r="W70" s="146"/>
      <c r="X70" s="55">
        <f t="shared" ref="X70" si="195">+X17/X13</f>
        <v>0.22636297006258105</v>
      </c>
      <c r="Y70" s="60">
        <v>0.24</v>
      </c>
      <c r="Z70" s="60">
        <v>0.23499999999999999</v>
      </c>
      <c r="AA70" s="60">
        <v>0.22</v>
      </c>
      <c r="AB70" s="54"/>
      <c r="AC70" s="60">
        <v>0.23499999999999999</v>
      </c>
      <c r="AD70" s="60">
        <v>0.22</v>
      </c>
      <c r="AE70" s="60">
        <f t="shared" ref="AE70:AF70" si="196">AD70</f>
        <v>0.22</v>
      </c>
      <c r="AF70" s="60">
        <f t="shared" si="196"/>
        <v>0.22</v>
      </c>
      <c r="AG70" s="54"/>
    </row>
    <row r="71" spans="1:33" s="42" customFormat="1" outlineLevel="1" x14ac:dyDescent="0.3">
      <c r="A71" s="144"/>
      <c r="B71" s="70" t="s">
        <v>93</v>
      </c>
      <c r="C71" s="71"/>
      <c r="D71" s="55">
        <f t="shared" ref="D71:R71" si="197">+D18/D13</f>
        <v>0.15347454477889261</v>
      </c>
      <c r="E71" s="55">
        <f t="shared" si="197"/>
        <v>0.1396830329397141</v>
      </c>
      <c r="F71" s="55">
        <f t="shared" si="197"/>
        <v>0.13193552988161461</v>
      </c>
      <c r="G71" s="55">
        <f t="shared" si="197"/>
        <v>0.12736973549778635</v>
      </c>
      <c r="H71" s="53">
        <f t="shared" si="197"/>
        <v>0.13647876112598595</v>
      </c>
      <c r="I71" s="55">
        <f t="shared" si="197"/>
        <v>0.13159860557768924</v>
      </c>
      <c r="J71" s="55">
        <f t="shared" si="197"/>
        <v>0.12058791975109967</v>
      </c>
      <c r="K71" s="55">
        <f t="shared" si="197"/>
        <v>0.11328427575522851</v>
      </c>
      <c r="L71" s="55">
        <f t="shared" si="197"/>
        <v>0.1059204440333025</v>
      </c>
      <c r="M71" s="53">
        <f t="shared" si="197"/>
        <v>0.1162275846800974</v>
      </c>
      <c r="N71" s="55">
        <f t="shared" si="197"/>
        <v>0.13329433394618084</v>
      </c>
      <c r="O71" s="55">
        <f t="shared" si="197"/>
        <v>0.14020104300506386</v>
      </c>
      <c r="P71" s="55">
        <f t="shared" si="197"/>
        <v>0.14045312158519704</v>
      </c>
      <c r="Q71" s="55">
        <f t="shared" si="197"/>
        <v>0.14585550431595129</v>
      </c>
      <c r="R71" s="54">
        <f t="shared" si="197"/>
        <v>0.14049571976073641</v>
      </c>
      <c r="S71" s="55">
        <f t="shared" ref="S71:T71" si="198">+S18/S13</f>
        <v>0.13397890827087616</v>
      </c>
      <c r="T71" s="55">
        <f t="shared" si="198"/>
        <v>0.14295866398199691</v>
      </c>
      <c r="U71" s="55">
        <f t="shared" ref="U71:V71" si="199">+U18/U13</f>
        <v>0.13686834353047814</v>
      </c>
      <c r="V71" s="55">
        <f t="shared" si="199"/>
        <v>0.14353476899724885</v>
      </c>
      <c r="W71" s="146"/>
      <c r="X71" s="55">
        <f t="shared" ref="X71" si="200">+X18/X13</f>
        <v>0.15712916502226984</v>
      </c>
      <c r="Y71" s="60">
        <v>0.17</v>
      </c>
      <c r="Z71" s="60">
        <v>0.16500000000000001</v>
      </c>
      <c r="AA71" s="60">
        <v>0.15</v>
      </c>
      <c r="AB71" s="164"/>
      <c r="AC71" s="60">
        <v>0.16400000000000001</v>
      </c>
      <c r="AD71" s="60">
        <v>0.16</v>
      </c>
      <c r="AE71" s="60">
        <f t="shared" ref="AE71" si="201">AD71</f>
        <v>0.16</v>
      </c>
      <c r="AF71" s="60">
        <v>0.16</v>
      </c>
      <c r="AG71" s="54"/>
    </row>
    <row r="72" spans="1:33" s="42" customFormat="1" outlineLevel="1" x14ac:dyDescent="0.3">
      <c r="A72" s="144"/>
      <c r="B72" s="70" t="s">
        <v>94</v>
      </c>
      <c r="C72" s="71"/>
      <c r="D72" s="55">
        <f t="shared" ref="D72:R72" si="202">+D19/D13</f>
        <v>6.8004459308807136E-2</v>
      </c>
      <c r="E72" s="55">
        <f t="shared" si="202"/>
        <v>6.401491609695463E-2</v>
      </c>
      <c r="F72" s="55">
        <f t="shared" si="202"/>
        <v>6.2473256311510482E-2</v>
      </c>
      <c r="G72" s="55">
        <f t="shared" si="202"/>
        <v>5.8462935634010671E-2</v>
      </c>
      <c r="H72" s="53">
        <f t="shared" si="202"/>
        <v>6.2631159997105432E-2</v>
      </c>
      <c r="I72" s="55">
        <f t="shared" si="202"/>
        <v>8.1548804780876491E-2</v>
      </c>
      <c r="J72" s="55">
        <f t="shared" si="202"/>
        <v>6.8662160712369913E-2</v>
      </c>
      <c r="K72" s="55">
        <f t="shared" si="202"/>
        <v>5.1897753679318356E-2</v>
      </c>
      <c r="L72" s="55">
        <f t="shared" si="202"/>
        <v>5.2883132901634287E-2</v>
      </c>
      <c r="M72" s="53">
        <f t="shared" si="202"/>
        <v>6.1914249870858237E-2</v>
      </c>
      <c r="N72" s="55">
        <f t="shared" si="202"/>
        <v>6.3262577302356682E-2</v>
      </c>
      <c r="O72" s="55">
        <f t="shared" si="202"/>
        <v>5.865013982314262E-2</v>
      </c>
      <c r="P72" s="55">
        <f t="shared" si="202"/>
        <v>6.8696729074087567E-2</v>
      </c>
      <c r="Q72" s="55">
        <f t="shared" si="202"/>
        <v>5.7703677426983561E-2</v>
      </c>
      <c r="R72" s="54">
        <f t="shared" si="202"/>
        <v>6.1821698484902751E-2</v>
      </c>
      <c r="S72" s="55">
        <f t="shared" ref="S72:T72" si="203">+S19/S13</f>
        <v>0.26954964515487168</v>
      </c>
      <c r="T72" s="55">
        <f t="shared" si="203"/>
        <v>0.19092739547554186</v>
      </c>
      <c r="U72" s="55">
        <f t="shared" ref="U72:V72" si="204">+U19/U13</f>
        <v>7.6365284387038296E-2</v>
      </c>
      <c r="V72" s="55">
        <f t="shared" si="204"/>
        <v>8.675647471776872E-2</v>
      </c>
      <c r="W72" s="146"/>
      <c r="X72" s="55">
        <f t="shared" ref="X72" si="205">+X19/X13</f>
        <v>8.9248463663528219E-2</v>
      </c>
      <c r="Y72" s="60">
        <v>0.09</v>
      </c>
      <c r="Z72" s="60">
        <v>8.8999999999999996E-2</v>
      </c>
      <c r="AA72" s="60">
        <v>7.9000000000000001E-2</v>
      </c>
      <c r="AB72" s="54"/>
      <c r="AC72" s="60">
        <v>0.09</v>
      </c>
      <c r="AD72" s="60">
        <v>0.08</v>
      </c>
      <c r="AE72" s="60">
        <f t="shared" ref="AE72" si="206">AD72</f>
        <v>0.08</v>
      </c>
      <c r="AF72" s="60">
        <v>7.3999999999999996E-2</v>
      </c>
      <c r="AG72" s="54"/>
    </row>
    <row r="73" spans="1:33" s="42" customFormat="1" outlineLevel="1" x14ac:dyDescent="0.3">
      <c r="A73" s="144"/>
      <c r="B73" s="158" t="s">
        <v>11</v>
      </c>
      <c r="C73" s="159"/>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55616.802749285518</v>
      </c>
      <c r="AC73" s="51"/>
      <c r="AD73" s="51"/>
      <c r="AE73" s="51"/>
      <c r="AF73" s="51"/>
      <c r="AG73" s="30">
        <f>AG14+AG17+AG18+AG19</f>
        <v>66248.774932653629</v>
      </c>
    </row>
    <row r="74" spans="1:33" s="42" customFormat="1" outlineLevel="1" x14ac:dyDescent="0.3">
      <c r="A74" s="144"/>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63">
        <f>+(W14+W17+W18+W19)/(R14+R17+R18+R19)-1</f>
        <v>0.51046079223928853</v>
      </c>
      <c r="X74" s="55">
        <f>+(X14+X17+X18+X19)/(V14+V17+V18+V19)-1</f>
        <v>-3.1086387434554941E-2</v>
      </c>
      <c r="Y74" s="55">
        <f>+(Y14+Y17+Y18+Y19)/(W14+W17+W18+W19)-1</f>
        <v>-0.7102085808890839</v>
      </c>
      <c r="Z74" s="55">
        <f>+(Z14+Z17+Z18+Z19)/(X14+X17+X18+X19)-1</f>
        <v>0.2065637109675782</v>
      </c>
      <c r="AA74" s="55">
        <f>+(AA14+AA17+AA18+AA19)/(Y14+Y17+Y18+Y19)-1</f>
        <v>0.17799118219908805</v>
      </c>
      <c r="AB74" s="53">
        <f>+(AB14+AB17+AB18+AB19)/(W14+W17+W18+W19)-1</f>
        <v>0.19065750571140661</v>
      </c>
      <c r="AC74" s="55">
        <f>+(AC14+AC17+AC18+AC19)/(AA14+AA17+AA18+AA19)-1</f>
        <v>-5.5648698457018253E-2</v>
      </c>
      <c r="AD74" s="55">
        <f>+(AD14+AD17+AD18+AD19)/(AB14+AB17+AB18+AB19)-1</f>
        <v>-0.72629793086314054</v>
      </c>
      <c r="AE74" s="55">
        <f>+(AE14+AE17+AE18+AE19)/(AC14+AC17+AC18+AC19)-1</f>
        <v>8.3159604383173935E-2</v>
      </c>
      <c r="AF74" s="55">
        <f>+(AF14+AF17+AF18+AF19)/(AD14+AD17+AD18+AD19)-1</f>
        <v>0.29132985319631732</v>
      </c>
      <c r="AG74" s="53">
        <f>+(AG14+AG17+AG18+AG19)/(AB14+AB17+AB18+AB19)-1</f>
        <v>0.19116474982022758</v>
      </c>
    </row>
    <row r="75" spans="1:33" s="42" customFormat="1" outlineLevel="1" x14ac:dyDescent="0.3">
      <c r="A75" s="144"/>
      <c r="B75" s="210" t="s">
        <v>4</v>
      </c>
      <c r="C75" s="211"/>
      <c r="D75" s="51">
        <f t="shared" ref="D75:AG75" si="207">D21/D13</f>
        <v>0.37328130806391674</v>
      </c>
      <c r="E75" s="51">
        <f t="shared" si="207"/>
        <v>0.42666252330640148</v>
      </c>
      <c r="F75" s="51">
        <f t="shared" si="207"/>
        <v>0.445300242476109</v>
      </c>
      <c r="G75" s="51">
        <f t="shared" si="207"/>
        <v>0.51651719831990006</v>
      </c>
      <c r="H75" s="54">
        <f t="shared" si="207"/>
        <v>0.44963456111151312</v>
      </c>
      <c r="I75" s="51">
        <f t="shared" si="207"/>
        <v>0.41421812749003983</v>
      </c>
      <c r="J75" s="51">
        <f t="shared" si="207"/>
        <v>0.47215963952365625</v>
      </c>
      <c r="K75" s="51">
        <f t="shared" si="207"/>
        <v>0.49593338497288925</v>
      </c>
      <c r="L75" s="51">
        <f t="shared" si="207"/>
        <v>0.56675917360468697</v>
      </c>
      <c r="M75" s="54">
        <f t="shared" si="207"/>
        <v>0.49693749538779425</v>
      </c>
      <c r="N75" s="51">
        <f t="shared" si="207"/>
        <v>0.45537355841551064</v>
      </c>
      <c r="O75" s="51">
        <f t="shared" si="207"/>
        <v>0.44312599198851182</v>
      </c>
      <c r="P75" s="51">
        <f t="shared" si="207"/>
        <v>0.42114081736723247</v>
      </c>
      <c r="Q75" s="51">
        <f t="shared" si="207"/>
        <v>0.46233889085964291</v>
      </c>
      <c r="R75" s="54">
        <f t="shared" si="207"/>
        <v>0.44616569361366809</v>
      </c>
      <c r="S75" s="51">
        <f t="shared" si="207"/>
        <v>0.22000397957153281</v>
      </c>
      <c r="T75" s="51">
        <f t="shared" si="207"/>
        <v>0.27395475541869002</v>
      </c>
      <c r="U75" s="51">
        <f t="shared" si="207"/>
        <v>0.40703602991162474</v>
      </c>
      <c r="V75" s="51">
        <f t="shared" si="207"/>
        <v>0.42016886443411439</v>
      </c>
      <c r="W75" s="146">
        <f t="shared" si="207"/>
        <v>0.33927889443682191</v>
      </c>
      <c r="X75" s="51">
        <f t="shared" si="207"/>
        <v>0.33224333314540228</v>
      </c>
      <c r="Y75" s="51">
        <f t="shared" si="207"/>
        <v>0.29000000000000004</v>
      </c>
      <c r="Z75" s="51">
        <f t="shared" si="207"/>
        <v>0.30599999999999999</v>
      </c>
      <c r="AA75" s="51">
        <f t="shared" si="207"/>
        <v>0.36100000000000015</v>
      </c>
      <c r="AB75" s="54">
        <f t="shared" si="207"/>
        <v>0.32461506870234497</v>
      </c>
      <c r="AC75" s="51">
        <f t="shared" si="207"/>
        <v>0.316</v>
      </c>
      <c r="AD75" s="51">
        <f t="shared" si="207"/>
        <v>0.35500000000000004</v>
      </c>
      <c r="AE75" s="51">
        <f t="shared" si="207"/>
        <v>0.35499999999999987</v>
      </c>
      <c r="AF75" s="51">
        <f t="shared" si="207"/>
        <v>0.36099999999999993</v>
      </c>
      <c r="AG75" s="54">
        <f t="shared" si="207"/>
        <v>0.34837025623439877</v>
      </c>
    </row>
    <row r="76" spans="1:33" s="42" customFormat="1" outlineLevel="1" x14ac:dyDescent="0.3">
      <c r="A76" s="144"/>
      <c r="B76" s="210" t="s">
        <v>2</v>
      </c>
      <c r="C76" s="211"/>
      <c r="D76" s="51">
        <f t="shared" ref="D76:X76" si="208">-D24/D23</f>
        <v>0.26876513317191281</v>
      </c>
      <c r="E76" s="51">
        <f t="shared" si="208"/>
        <v>0.25704989154013014</v>
      </c>
      <c r="F76" s="51">
        <f t="shared" si="208"/>
        <v>0.24928999684443043</v>
      </c>
      <c r="G76" s="51">
        <f t="shared" si="208"/>
        <v>5.422753430721558E-2</v>
      </c>
      <c r="H76" s="54">
        <f t="shared" si="208"/>
        <v>0.18381530595941845</v>
      </c>
      <c r="I76" s="51">
        <f t="shared" si="208"/>
        <v>0.10093896713615023</v>
      </c>
      <c r="J76" s="51">
        <f t="shared" si="208"/>
        <v>0.13235294117647059</v>
      </c>
      <c r="K76" s="51">
        <f t="shared" si="208"/>
        <v>0.10103132161955691</v>
      </c>
      <c r="L76" s="51">
        <f t="shared" si="208"/>
        <v>0.42803537925489143</v>
      </c>
      <c r="M76" s="54">
        <f t="shared" si="208"/>
        <v>0.22632805671554823</v>
      </c>
      <c r="N76" s="51">
        <f t="shared" si="208"/>
        <v>0.11087344028520499</v>
      </c>
      <c r="O76" s="51">
        <f t="shared" si="208"/>
        <v>0.12985685071574643</v>
      </c>
      <c r="P76" s="51">
        <f t="shared" si="208"/>
        <v>0.13108930987821379</v>
      </c>
      <c r="Q76" s="51">
        <f t="shared" si="208"/>
        <v>0.13662024840045164</v>
      </c>
      <c r="R76" s="54">
        <f t="shared" si="208"/>
        <v>0.12807065967430306</v>
      </c>
      <c r="S76" s="143">
        <f t="shared" si="208"/>
        <v>0.30241240666283747</v>
      </c>
      <c r="T76" s="51">
        <f t="shared" si="208"/>
        <v>0.45860927152317882</v>
      </c>
      <c r="U76" s="51">
        <f t="shared" si="208"/>
        <v>0.16891799699822621</v>
      </c>
      <c r="V76" s="51">
        <f t="shared" si="208"/>
        <v>0.19849492856363835</v>
      </c>
      <c r="W76" s="146">
        <f t="shared" si="208"/>
        <v>0.25499758181525067</v>
      </c>
      <c r="X76" s="143">
        <f t="shared" si="208"/>
        <v>0.16362395495649207</v>
      </c>
      <c r="Y76" s="59">
        <v>0.18</v>
      </c>
      <c r="Z76" s="59">
        <v>0.18</v>
      </c>
      <c r="AA76" s="59">
        <v>0.18</v>
      </c>
      <c r="AB76" s="165">
        <f>-AB24/AB23</f>
        <v>0.17646445268162433</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0.18070140218701808</v>
      </c>
    </row>
    <row r="77" spans="1:33" ht="17.399999999999999" x14ac:dyDescent="0.45">
      <c r="A77" s="137"/>
      <c r="B77" s="205" t="s">
        <v>18</v>
      </c>
      <c r="C77" s="206"/>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141</v>
      </c>
      <c r="T77" s="27" t="s">
        <v>147</v>
      </c>
      <c r="U77" s="27" t="s">
        <v>148</v>
      </c>
      <c r="V77" s="27" t="s">
        <v>149</v>
      </c>
      <c r="W77" s="80" t="s">
        <v>150</v>
      </c>
      <c r="X77" s="27" t="s">
        <v>151</v>
      </c>
      <c r="Y77" s="25" t="s">
        <v>106</v>
      </c>
      <c r="Z77" s="25" t="s">
        <v>107</v>
      </c>
      <c r="AA77" s="25" t="s">
        <v>108</v>
      </c>
      <c r="AB77" s="82" t="s">
        <v>109</v>
      </c>
      <c r="AC77" s="25" t="s">
        <v>110</v>
      </c>
      <c r="AD77" s="25" t="s">
        <v>111</v>
      </c>
      <c r="AE77" s="25" t="s">
        <v>112</v>
      </c>
      <c r="AF77" s="25" t="s">
        <v>113</v>
      </c>
      <c r="AG77" s="82" t="s">
        <v>114</v>
      </c>
    </row>
    <row r="78" spans="1:33" outlineLevel="1" x14ac:dyDescent="0.3">
      <c r="A78" s="137"/>
      <c r="B78" s="210" t="s">
        <v>12</v>
      </c>
      <c r="C78" s="211"/>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 t="shared" ref="Y78:Y79" si="209">AVERAGE(T78,U78,V78,X78)</f>
        <v>1.7723909360243817E-3</v>
      </c>
      <c r="Z78" s="60">
        <f t="shared" ref="Z78:Z79" si="210">AVERAGE(U78,V78,X78,Y78)</f>
        <v>1.7638955327755751E-3</v>
      </c>
      <c r="AA78" s="60">
        <f t="shared" ref="AA78:AA79" si="211">AVERAGE(V78,X78,Y78,Z78)</f>
        <v>1.7617871042356799E-3</v>
      </c>
      <c r="AB78" s="23"/>
      <c r="AC78" s="60">
        <f t="shared" ref="AC78:AC79" si="212">AVERAGE(X78,Y78,Z78,AA78)</f>
        <v>1.6135863680311483E-3</v>
      </c>
      <c r="AD78" s="60">
        <f t="shared" ref="AD78:AD79" si="213">AVERAGE(Y78,Z78,AA78,AC78)</f>
        <v>1.7279149852666962E-3</v>
      </c>
      <c r="AE78" s="60">
        <f t="shared" ref="AE78:AE79" si="214">AVERAGE(Z78,AA78,AC78,AD78)</f>
        <v>1.7167959975772748E-3</v>
      </c>
      <c r="AF78" s="60">
        <f t="shared" ref="AF78:AF79" si="215">AVERAGE(AA78,AC78,AD78,AE78)</f>
        <v>1.7050211137776996E-3</v>
      </c>
      <c r="AG78" s="23"/>
    </row>
    <row r="79" spans="1:33" outlineLevel="1" x14ac:dyDescent="0.3">
      <c r="A79" s="137"/>
      <c r="B79" s="210" t="s">
        <v>13</v>
      </c>
      <c r="C79" s="211"/>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 t="shared" si="209"/>
        <v>2.1111956602481441E-3</v>
      </c>
      <c r="Z79" s="60">
        <f t="shared" si="210"/>
        <v>1.5794790646792983E-3</v>
      </c>
      <c r="AA79" s="60">
        <f t="shared" si="211"/>
        <v>1.534348830849127E-3</v>
      </c>
      <c r="AB79" s="23"/>
      <c r="AC79" s="60">
        <f t="shared" si="212"/>
        <v>8.114642222774816E-4</v>
      </c>
      <c r="AD79" s="60">
        <f t="shared" si="213"/>
        <v>1.5091219445135127E-3</v>
      </c>
      <c r="AE79" s="60">
        <f t="shared" si="214"/>
        <v>1.358603515579855E-3</v>
      </c>
      <c r="AF79" s="60">
        <f t="shared" si="215"/>
        <v>1.3033846283049941E-3</v>
      </c>
      <c r="AG79" s="23"/>
    </row>
    <row r="80" spans="1:33" outlineLevel="1" x14ac:dyDescent="0.3">
      <c r="A80" s="137"/>
      <c r="B80" s="210" t="s">
        <v>5</v>
      </c>
      <c r="C80" s="211"/>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45">
        <v>166.34</v>
      </c>
      <c r="T80" s="145">
        <f>((2159*180.22)+(2200*186.29)+(1800*181.21))/6159</f>
        <v>182.67754180873519</v>
      </c>
      <c r="U80" s="145">
        <f>((1980*199.28)+(1980*184.89)+(2100*185.71))/6060</f>
        <v>189.87584158415842</v>
      </c>
      <c r="V80" s="145">
        <f>((2415*184.42)+(2100*195.74)+(2205*202.02))/6720</f>
        <v>193.73250000000002</v>
      </c>
      <c r="W80" s="62"/>
      <c r="X80" s="145">
        <f>((2205*216.5)+(1995*207.57)+(2100*166.71))/6300</f>
        <v>197.07549999999998</v>
      </c>
      <c r="Y80" s="63">
        <v>200</v>
      </c>
      <c r="Z80" s="63">
        <v>235</v>
      </c>
      <c r="AA80" s="63">
        <v>235</v>
      </c>
      <c r="AB80" s="62"/>
      <c r="AC80" s="63">
        <f>AA80</f>
        <v>235</v>
      </c>
      <c r="AD80" s="63">
        <f>AC80</f>
        <v>235</v>
      </c>
      <c r="AE80" s="63">
        <f>AD80</f>
        <v>235</v>
      </c>
      <c r="AF80" s="63">
        <f>AE80</f>
        <v>235</v>
      </c>
      <c r="AG80" s="62"/>
    </row>
    <row r="81" spans="1:33" outlineLevel="1" x14ac:dyDescent="0.3">
      <c r="A81" s="137"/>
      <c r="B81" s="210" t="s">
        <v>6</v>
      </c>
      <c r="C81" s="211"/>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32">
        <v>521.80858000000001</v>
      </c>
      <c r="T81" s="132">
        <f>((2159*180.22)+(2200*186.29)+(1800*181.21))/1000</f>
        <v>1125.1109799999999</v>
      </c>
      <c r="U81" s="132">
        <f>((1980*199.28)+(1980*184.89)+(2100*185.71))/1000</f>
        <v>1150.6476</v>
      </c>
      <c r="V81" s="132">
        <f>((2415*184.42)+(2100*195.74)+(2205*202.02))/1000</f>
        <v>1301.8824000000002</v>
      </c>
      <c r="W81" s="30">
        <f>+SUM(S81:V81)</f>
        <v>4099.44956</v>
      </c>
      <c r="X81" s="132">
        <f>((2205*216.5)+(1995*207.57)+(2100*166.71))/1000</f>
        <v>1241.57565</v>
      </c>
      <c r="Y81" s="58">
        <v>1500</v>
      </c>
      <c r="Z81" s="58">
        <f>AVERAGE(U81,V81,X81,Y81)</f>
        <v>1298.5264125000001</v>
      </c>
      <c r="AA81" s="58">
        <f>AVERAGE(V81,X81,Y81,Z81)</f>
        <v>1335.4961156250001</v>
      </c>
      <c r="AB81" s="30">
        <f>+SUM(X81:AA81)</f>
        <v>5375.5981781250002</v>
      </c>
      <c r="AC81" s="58">
        <f>AVERAGE(X81,Y81,Z81,AA81)</f>
        <v>1343.8995445312501</v>
      </c>
      <c r="AD81" s="58">
        <f>AVERAGE(Y81,Z81,AA81,AC81)</f>
        <v>1369.4805181640627</v>
      </c>
      <c r="AE81" s="58">
        <f>AVERAGE(Z81,AA81,AC81,AD81)</f>
        <v>1336.8506477050782</v>
      </c>
      <c r="AF81" s="58">
        <f>AVERAGE(AA81,AC81,AD81,AE81)</f>
        <v>1346.4317065063478</v>
      </c>
      <c r="AG81" s="30">
        <f>+SUM(AC81:AF81)</f>
        <v>5396.6624169067381</v>
      </c>
    </row>
    <row r="82" spans="1:33" outlineLevel="1" x14ac:dyDescent="0.3">
      <c r="A82" s="137"/>
      <c r="B82" s="214" t="s">
        <v>17</v>
      </c>
      <c r="C82" s="215"/>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7.5</v>
      </c>
      <c r="Z82" s="66">
        <f>IF((Z81)&gt;0,(Z81/Z80),0)</f>
        <v>5.525644308510639</v>
      </c>
      <c r="AA82" s="66">
        <f>IF((AA81)&gt;0,(AA81/AA80),0)</f>
        <v>5.6829621941489368</v>
      </c>
      <c r="AB82" s="101">
        <f>+SUM(X82:AA82)</f>
        <v>25.008606502659575</v>
      </c>
      <c r="AC82" s="66">
        <f>IF((AC81)&gt;0,(AC81/AC80),0)</f>
        <v>5.7187214660904262</v>
      </c>
      <c r="AD82" s="66">
        <f>IF((AD81)&gt;0,(AD81/AD80),0)</f>
        <v>5.827576673038565</v>
      </c>
      <c r="AE82" s="66">
        <f>IF((AE81)&gt;0,(AE81/AE80),0)</f>
        <v>5.6887261604471417</v>
      </c>
      <c r="AF82" s="66">
        <f>IF((AF81)&gt;0,(AF81/AF80),0)</f>
        <v>5.7294966234312676</v>
      </c>
      <c r="AG82" s="101">
        <f>+SUM(AC82:AF82)</f>
        <v>22.964520923007399</v>
      </c>
    </row>
    <row r="83" spans="1:33" ht="17.399999999999999" x14ac:dyDescent="0.45">
      <c r="A83" s="137"/>
      <c r="B83" s="205" t="s">
        <v>24</v>
      </c>
      <c r="C83" s="206"/>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141</v>
      </c>
      <c r="T83" s="27" t="s">
        <v>147</v>
      </c>
      <c r="U83" s="27" t="s">
        <v>148</v>
      </c>
      <c r="V83" s="27" t="s">
        <v>149</v>
      </c>
      <c r="W83" s="80" t="s">
        <v>150</v>
      </c>
      <c r="X83" s="27" t="s">
        <v>151</v>
      </c>
      <c r="Y83" s="25" t="s">
        <v>106</v>
      </c>
      <c r="Z83" s="25" t="s">
        <v>107</v>
      </c>
      <c r="AA83" s="25" t="s">
        <v>108</v>
      </c>
      <c r="AB83" s="82" t="s">
        <v>109</v>
      </c>
      <c r="AC83" s="25" t="s">
        <v>110</v>
      </c>
      <c r="AD83" s="25" t="s">
        <v>111</v>
      </c>
      <c r="AE83" s="25" t="s">
        <v>112</v>
      </c>
      <c r="AF83" s="25" t="s">
        <v>113</v>
      </c>
      <c r="AG83" s="82" t="s">
        <v>114</v>
      </c>
    </row>
    <row r="84" spans="1:33" outlineLevel="1" x14ac:dyDescent="0.3">
      <c r="A84" s="137"/>
      <c r="B84" s="210" t="s">
        <v>95</v>
      </c>
      <c r="C84" s="211"/>
      <c r="D84" s="29"/>
      <c r="E84" s="29"/>
      <c r="F84" s="29"/>
      <c r="G84" s="29"/>
      <c r="H84" s="30"/>
      <c r="I84" s="29">
        <v>-536</v>
      </c>
      <c r="J84" s="29">
        <v>-373</v>
      </c>
      <c r="K84" s="29">
        <v>159</v>
      </c>
      <c r="L84" s="29">
        <v>348</v>
      </c>
      <c r="M84" s="30"/>
      <c r="N84" s="29">
        <v>-536</v>
      </c>
      <c r="O84" s="29">
        <v>-373</v>
      </c>
      <c r="P84" s="29">
        <v>159</v>
      </c>
      <c r="Q84" s="29">
        <v>348</v>
      </c>
      <c r="R84" s="30">
        <v>-401</v>
      </c>
      <c r="S84" s="132">
        <v>503</v>
      </c>
      <c r="T84" s="132">
        <v>574</v>
      </c>
      <c r="U84" s="132">
        <v>297</v>
      </c>
      <c r="V84" s="132">
        <v>295</v>
      </c>
      <c r="W84" s="127">
        <f t="shared" ref="W84" si="216">SUM(S84:V84)</f>
        <v>1669</v>
      </c>
      <c r="X84" s="132">
        <v>275</v>
      </c>
      <c r="Y84" s="58">
        <f>X84</f>
        <v>275</v>
      </c>
      <c r="Z84" s="58">
        <v>150</v>
      </c>
      <c r="AA84" s="58">
        <v>100</v>
      </c>
      <c r="AB84" s="30">
        <f t="shared" ref="AB84" si="217">SUM(X84:AA84)</f>
        <v>800</v>
      </c>
      <c r="AC84" s="58">
        <v>50</v>
      </c>
      <c r="AD84" s="58">
        <f>AC84</f>
        <v>50</v>
      </c>
      <c r="AE84" s="58">
        <f>AD84</f>
        <v>50</v>
      </c>
      <c r="AF84" s="58">
        <f>AE84</f>
        <v>50</v>
      </c>
      <c r="AG84" s="30">
        <f t="shared" ref="AG84" si="218">SUM(AC84:AF84)</f>
        <v>200</v>
      </c>
    </row>
    <row r="85" spans="1:33" ht="17.399999999999999" x14ac:dyDescent="0.45">
      <c r="A85" s="137"/>
      <c r="B85" s="205" t="s">
        <v>96</v>
      </c>
      <c r="C85" s="206"/>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141</v>
      </c>
      <c r="T85" s="27" t="s">
        <v>147</v>
      </c>
      <c r="U85" s="27" t="s">
        <v>148</v>
      </c>
      <c r="V85" s="27" t="s">
        <v>149</v>
      </c>
      <c r="W85" s="80" t="s">
        <v>150</v>
      </c>
      <c r="X85" s="27" t="s">
        <v>151</v>
      </c>
      <c r="Y85" s="25" t="s">
        <v>106</v>
      </c>
      <c r="Z85" s="25" t="s">
        <v>107</v>
      </c>
      <c r="AA85" s="25" t="s">
        <v>108</v>
      </c>
      <c r="AB85" s="82" t="s">
        <v>109</v>
      </c>
      <c r="AC85" s="25" t="s">
        <v>110</v>
      </c>
      <c r="AD85" s="25" t="s">
        <v>111</v>
      </c>
      <c r="AE85" s="25" t="s">
        <v>112</v>
      </c>
      <c r="AF85" s="25" t="s">
        <v>113</v>
      </c>
      <c r="AG85" s="82" t="s">
        <v>114</v>
      </c>
    </row>
    <row r="86" spans="1:33" outlineLevel="1" x14ac:dyDescent="0.3">
      <c r="A86" s="137"/>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32">
        <v>87</v>
      </c>
      <c r="T86" s="132">
        <v>109</v>
      </c>
      <c r="U86" s="132">
        <v>91</v>
      </c>
      <c r="V86" s="132">
        <f>377-U86-T86-S86</f>
        <v>90</v>
      </c>
      <c r="W86" s="30">
        <f>SUM(S86:V86)</f>
        <v>377</v>
      </c>
      <c r="X86" s="132">
        <v>94</v>
      </c>
      <c r="Y86" s="58">
        <f>AVERAGE(T86,U86,V86,X86)</f>
        <v>96</v>
      </c>
      <c r="Z86" s="58">
        <f>AVERAGE(U86,V86,X86,Y86)</f>
        <v>92.75</v>
      </c>
      <c r="AA86" s="58">
        <f>AVERAGE(V86,X86,Y86,Z86)</f>
        <v>93.1875</v>
      </c>
      <c r="AB86" s="30">
        <f>SUM(X86:AA86)</f>
        <v>375.9375</v>
      </c>
      <c r="AC86" s="58">
        <f>AVERAGE(X86,Y86,Z86,AA86)</f>
        <v>93.984375</v>
      </c>
      <c r="AD86" s="58">
        <f>AVERAGE(Y86,Z86,AA86,AC86)</f>
        <v>93.98046875</v>
      </c>
      <c r="AE86" s="58">
        <f>AVERAGE(Z86,AA86,AC86,AD86)</f>
        <v>93.4755859375</v>
      </c>
      <c r="AF86" s="58">
        <f>AVERAGE(AA86,AC86,AD86,AE86)</f>
        <v>93.656982421875</v>
      </c>
      <c r="AG86" s="30">
        <f>SUM(AC86:AF86)</f>
        <v>375.097412109375</v>
      </c>
    </row>
    <row r="87" spans="1:33" s="87" customFormat="1" outlineLevel="1" x14ac:dyDescent="0.3">
      <c r="A87" s="147"/>
      <c r="B87" s="70" t="s">
        <v>99</v>
      </c>
      <c r="C87" s="102"/>
      <c r="D87" s="88"/>
      <c r="E87" s="88"/>
      <c r="F87" s="88"/>
      <c r="G87" s="29"/>
      <c r="H87" s="103"/>
      <c r="I87" s="29">
        <v>670</v>
      </c>
      <c r="J87" s="29">
        <v>787</v>
      </c>
      <c r="K87" s="29">
        <v>776</v>
      </c>
      <c r="L87" s="29">
        <v>587</v>
      </c>
      <c r="M87" s="103"/>
      <c r="N87" s="29">
        <v>718</v>
      </c>
      <c r="O87" s="29">
        <v>881</v>
      </c>
      <c r="P87" s="29">
        <v>748</v>
      </c>
      <c r="Q87" s="85">
        <v>675</v>
      </c>
      <c r="R87" s="30">
        <f t="shared" ref="R87:R89" si="219">SUM(N87:Q87)</f>
        <v>3022</v>
      </c>
      <c r="S87" s="132">
        <v>723</v>
      </c>
      <c r="T87" s="132">
        <v>927</v>
      </c>
      <c r="U87" s="132">
        <v>907</v>
      </c>
      <c r="V87" s="132">
        <f>3488-U87-T87-S87</f>
        <v>931</v>
      </c>
      <c r="W87" s="30">
        <f t="shared" ref="W87:W89" si="220">SUM(S87:V87)</f>
        <v>3488</v>
      </c>
      <c r="X87" s="132">
        <v>999</v>
      </c>
      <c r="Y87" s="58">
        <f t="shared" ref="Y87:Y89" si="221">AVERAGE(T87,U87,V87,X87)</f>
        <v>941</v>
      </c>
      <c r="Z87" s="58">
        <f t="shared" ref="Z87:Z89" si="222">AVERAGE(U87,V87,X87,Y87)</f>
        <v>944.5</v>
      </c>
      <c r="AA87" s="58">
        <f t="shared" ref="AA87:AA89" si="223">AVERAGE(V87,X87,Y87,Z87)</f>
        <v>953.875</v>
      </c>
      <c r="AB87" s="30">
        <f t="shared" ref="AB87:AB89" si="224">SUM(X87:AA87)</f>
        <v>3838.375</v>
      </c>
      <c r="AC87" s="58">
        <f t="shared" ref="AC87:AC89" si="225">AVERAGE(X87,Y87,Z87,AA87)</f>
        <v>959.59375</v>
      </c>
      <c r="AD87" s="58">
        <f t="shared" ref="AD87:AD89" si="226">AVERAGE(Y87,Z87,AA87,AC87)</f>
        <v>949.7421875</v>
      </c>
      <c r="AE87" s="58">
        <f t="shared" ref="AE87:AE89" si="227">AVERAGE(Z87,AA87,AC87,AD87)</f>
        <v>951.927734375</v>
      </c>
      <c r="AF87" s="58">
        <f t="shared" ref="AF87:AF89" si="228">AVERAGE(AA87,AC87,AD87,AE87)</f>
        <v>953.78466796875</v>
      </c>
      <c r="AG87" s="30">
        <f t="shared" ref="AG87:AG89" si="229">SUM(AC87:AF87)</f>
        <v>3815.04833984375</v>
      </c>
    </row>
    <row r="88" spans="1:33" outlineLevel="1" x14ac:dyDescent="0.3">
      <c r="A88" s="137"/>
      <c r="B88" s="70" t="s">
        <v>98</v>
      </c>
      <c r="C88" s="71"/>
      <c r="D88" s="29"/>
      <c r="E88" s="29"/>
      <c r="F88" s="29"/>
      <c r="G88" s="29"/>
      <c r="H88" s="30"/>
      <c r="I88" s="29">
        <v>96</v>
      </c>
      <c r="J88" s="29">
        <v>120</v>
      </c>
      <c r="K88" s="29">
        <v>114</v>
      </c>
      <c r="L88" s="29">
        <v>106</v>
      </c>
      <c r="M88" s="30"/>
      <c r="N88" s="29">
        <v>109</v>
      </c>
      <c r="O88" s="29">
        <v>139</v>
      </c>
      <c r="P88" s="29">
        <v>133</v>
      </c>
      <c r="Q88" s="85">
        <v>130</v>
      </c>
      <c r="R88" s="30">
        <f t="shared" si="219"/>
        <v>511</v>
      </c>
      <c r="S88" s="132">
        <v>113</v>
      </c>
      <c r="T88" s="132">
        <v>160</v>
      </c>
      <c r="U88" s="132">
        <v>148</v>
      </c>
      <c r="V88" s="132">
        <f>569-U88-T88-S88</f>
        <v>148</v>
      </c>
      <c r="W88" s="30">
        <f t="shared" si="220"/>
        <v>569</v>
      </c>
      <c r="X88" s="132">
        <v>149</v>
      </c>
      <c r="Y88" s="58">
        <f t="shared" si="221"/>
        <v>151.25</v>
      </c>
      <c r="Z88" s="58">
        <f t="shared" si="222"/>
        <v>149.0625</v>
      </c>
      <c r="AA88" s="58">
        <f t="shared" si="223"/>
        <v>149.328125</v>
      </c>
      <c r="AB88" s="30">
        <f t="shared" si="224"/>
        <v>598.640625</v>
      </c>
      <c r="AC88" s="58">
        <f t="shared" si="225"/>
        <v>149.66015625</v>
      </c>
      <c r="AD88" s="58">
        <f t="shared" si="226"/>
        <v>149.8251953125</v>
      </c>
      <c r="AE88" s="58">
        <f t="shared" si="227"/>
        <v>149.468994140625</v>
      </c>
      <c r="AF88" s="58">
        <f t="shared" si="228"/>
        <v>149.57061767578125</v>
      </c>
      <c r="AG88" s="30">
        <f t="shared" si="229"/>
        <v>598.52496337890625</v>
      </c>
    </row>
    <row r="89" spans="1:33" outlineLevel="1" x14ac:dyDescent="0.3">
      <c r="A89" s="137"/>
      <c r="B89" s="76" t="s">
        <v>97</v>
      </c>
      <c r="C89" s="89"/>
      <c r="D89" s="67"/>
      <c r="E89" s="67"/>
      <c r="F89" s="67"/>
      <c r="G89" s="67"/>
      <c r="H89" s="68"/>
      <c r="I89" s="67">
        <v>67</v>
      </c>
      <c r="J89" s="67">
        <v>78</v>
      </c>
      <c r="K89" s="67">
        <v>73</v>
      </c>
      <c r="L89" s="67">
        <v>71</v>
      </c>
      <c r="M89" s="68"/>
      <c r="N89" s="67">
        <v>72</v>
      </c>
      <c r="O89" s="67">
        <v>92</v>
      </c>
      <c r="P89" s="67">
        <v>87</v>
      </c>
      <c r="Q89" s="104">
        <v>84</v>
      </c>
      <c r="R89" s="68">
        <f t="shared" si="219"/>
        <v>335</v>
      </c>
      <c r="S89" s="148">
        <v>87</v>
      </c>
      <c r="T89" s="156">
        <v>107</v>
      </c>
      <c r="U89" s="156">
        <v>103</v>
      </c>
      <c r="V89" s="161">
        <f>402-U89-T89-S89</f>
        <v>105</v>
      </c>
      <c r="W89" s="68">
        <f t="shared" si="220"/>
        <v>402</v>
      </c>
      <c r="X89" s="148">
        <v>93</v>
      </c>
      <c r="Y89" s="77">
        <f t="shared" si="221"/>
        <v>102</v>
      </c>
      <c r="Z89" s="77">
        <f t="shared" si="222"/>
        <v>100.75</v>
      </c>
      <c r="AA89" s="106">
        <f t="shared" si="223"/>
        <v>100.1875</v>
      </c>
      <c r="AB89" s="68">
        <f t="shared" si="224"/>
        <v>395.9375</v>
      </c>
      <c r="AC89" s="105">
        <f t="shared" si="225"/>
        <v>98.984375</v>
      </c>
      <c r="AD89" s="77">
        <f t="shared" si="226"/>
        <v>100.48046875</v>
      </c>
      <c r="AE89" s="77">
        <f t="shared" si="227"/>
        <v>100.1005859375</v>
      </c>
      <c r="AF89" s="106">
        <f t="shared" si="228"/>
        <v>99.938232421875</v>
      </c>
      <c r="AG89" s="68">
        <f t="shared" si="229"/>
        <v>399.503662109375</v>
      </c>
    </row>
    <row r="90" spans="1:33" x14ac:dyDescent="0.3">
      <c r="A90" s="137"/>
      <c r="B90" s="20"/>
      <c r="C90" s="20"/>
      <c r="F90" s="3"/>
      <c r="G90" s="3"/>
      <c r="H90" s="3"/>
      <c r="I90" s="151"/>
      <c r="J90" s="151"/>
      <c r="K90" s="151"/>
      <c r="L90" s="151"/>
      <c r="M90" s="84"/>
      <c r="N90" s="151"/>
      <c r="O90" s="151"/>
      <c r="P90" s="151"/>
      <c r="Q90" s="151"/>
      <c r="R90" s="151"/>
      <c r="S90" s="151"/>
      <c r="T90" s="151"/>
      <c r="U90" s="151"/>
      <c r="V90" s="151"/>
      <c r="W90" s="84"/>
      <c r="Z90" s="3"/>
      <c r="AA90" s="3"/>
      <c r="AB90" s="84"/>
      <c r="AE90" s="3"/>
      <c r="AF90" s="3"/>
      <c r="AG90" s="84"/>
    </row>
    <row r="92" spans="1:33" x14ac:dyDescent="0.3">
      <c r="V92" s="188"/>
      <c r="W92" s="200"/>
      <c r="X92" s="200" t="s">
        <v>158</v>
      </c>
      <c r="Y92" s="189">
        <v>17200</v>
      </c>
      <c r="Z92" s="190">
        <v>18900.000000000004</v>
      </c>
      <c r="AA92" s="190">
        <v>23500</v>
      </c>
      <c r="AB92" s="190">
        <v>77337</v>
      </c>
      <c r="AC92" s="189">
        <v>21100.000000000004</v>
      </c>
      <c r="AD92" s="189">
        <v>20875.406764227329</v>
      </c>
      <c r="AE92" s="190">
        <v>23859.599271183732</v>
      </c>
      <c r="AF92" s="190">
        <v>30764.993964588954</v>
      </c>
      <c r="AG92" s="191">
        <v>96600.000000000015</v>
      </c>
    </row>
    <row r="93" spans="1:33" x14ac:dyDescent="0.3">
      <c r="V93" s="192"/>
      <c r="W93" s="201"/>
      <c r="X93" s="201" t="s">
        <v>157</v>
      </c>
      <c r="Y93" s="193">
        <f t="shared" ref="Y93:AG93" si="230">Y13/Y92 - 1</f>
        <v>0.1084545511046513</v>
      </c>
      <c r="Z93" s="193">
        <f t="shared" si="230"/>
        <v>8.9500373015872769E-2</v>
      </c>
      <c r="AA93" s="193">
        <f t="shared" si="230"/>
        <v>6.1886270335665294E-2</v>
      </c>
      <c r="AB93" s="193">
        <f t="shared" si="230"/>
        <v>6.4798255451958831E-2</v>
      </c>
      <c r="AC93" s="193">
        <f t="shared" si="230"/>
        <v>4.3378185054188556E-2</v>
      </c>
      <c r="AD93" s="193">
        <f t="shared" si="230"/>
        <v>0.13054912516019868</v>
      </c>
      <c r="AE93" s="193">
        <f t="shared" si="230"/>
        <v>5.9863422626351914E-2</v>
      </c>
      <c r="AF93" s="193">
        <f t="shared" si="230"/>
        <v>-8.3814349950528388E-5</v>
      </c>
      <c r="AG93" s="194">
        <f t="shared" si="230"/>
        <v>5.2446009544228289E-2</v>
      </c>
    </row>
    <row r="94" spans="1:33" x14ac:dyDescent="0.3">
      <c r="V94" s="202"/>
      <c r="W94" s="201"/>
      <c r="X94" s="201" t="s">
        <v>159</v>
      </c>
      <c r="Y94" s="195">
        <v>1.3723515677314775</v>
      </c>
      <c r="Z94" s="196">
        <v>1.695014060533657</v>
      </c>
      <c r="AA94" s="196">
        <v>2.4679436420880481</v>
      </c>
      <c r="AB94" s="196">
        <v>7.2445139173704201</v>
      </c>
      <c r="AC94" s="195">
        <v>1.948448098329395</v>
      </c>
      <c r="AD94" s="195">
        <v>2.1582262284033917</v>
      </c>
      <c r="AE94" s="196">
        <v>2.4599001333474257</v>
      </c>
      <c r="AF94" s="196">
        <v>3.2128036556206983</v>
      </c>
      <c r="AG94" s="197">
        <v>9.7793751627925953</v>
      </c>
    </row>
    <row r="95" spans="1:33" x14ac:dyDescent="0.3">
      <c r="V95" s="203"/>
      <c r="W95" s="204"/>
      <c r="X95" s="204" t="s">
        <v>157</v>
      </c>
      <c r="Y95" s="198">
        <f t="shared" ref="Y95:AG95" si="231">Y31/Y94 - 1</f>
        <v>0.18525545385628273</v>
      </c>
      <c r="Z95" s="198">
        <f t="shared" si="231"/>
        <v>8.8246119822279701E-2</v>
      </c>
      <c r="AA95" s="198">
        <f t="shared" si="231"/>
        <v>6.186151461266487E-2</v>
      </c>
      <c r="AB95" s="198">
        <f t="shared" si="231"/>
        <v>7.6814436855274559E-2</v>
      </c>
      <c r="AC95" s="198">
        <f t="shared" si="231"/>
        <v>4.3852106942296354E-2</v>
      </c>
      <c r="AD95" s="198">
        <f t="shared" si="231"/>
        <v>0.12959719440135853</v>
      </c>
      <c r="AE95" s="198">
        <f t="shared" si="231"/>
        <v>6.0410713915021619E-2</v>
      </c>
      <c r="AF95" s="198">
        <f t="shared" si="231"/>
        <v>1.4416477357048763E-3</v>
      </c>
      <c r="AG95" s="199">
        <f t="shared" si="231"/>
        <v>5.300723089702486E-2</v>
      </c>
    </row>
    <row r="96" spans="1:33" x14ac:dyDescent="0.3">
      <c r="V96" s="141"/>
      <c r="W96" s="171"/>
      <c r="X96" s="141"/>
      <c r="Y96" s="183"/>
      <c r="Z96" s="183"/>
      <c r="AA96" s="183"/>
      <c r="AB96" s="183"/>
      <c r="AC96" s="183"/>
      <c r="AD96" s="183"/>
      <c r="AE96" s="183"/>
      <c r="AF96" s="183"/>
      <c r="AG96" s="183"/>
    </row>
    <row r="97" spans="22:33" x14ac:dyDescent="0.3">
      <c r="V97" s="177"/>
      <c r="W97" s="132"/>
      <c r="X97" s="177"/>
      <c r="Y97" s="184"/>
      <c r="Z97" s="185"/>
      <c r="AA97" s="186"/>
      <c r="AB97" s="185"/>
      <c r="AC97" s="187"/>
      <c r="AD97" s="187"/>
      <c r="AE97" s="187"/>
      <c r="AF97" s="185"/>
      <c r="AG97" s="187"/>
    </row>
    <row r="98" spans="22:33" x14ac:dyDescent="0.3">
      <c r="V98" s="181"/>
      <c r="W98" s="141"/>
      <c r="X98" s="182"/>
      <c r="Y98" s="183"/>
      <c r="Z98" s="183"/>
      <c r="AA98" s="183"/>
      <c r="AB98" s="185"/>
      <c r="AC98" s="185"/>
      <c r="AD98" s="185"/>
      <c r="AE98" s="185"/>
      <c r="AF98" s="185"/>
      <c r="AG98" s="185"/>
    </row>
    <row r="99" spans="22:33" x14ac:dyDescent="0.3">
      <c r="V99" s="166"/>
    </row>
  </sheetData>
  <dataConsolidate/>
  <mergeCells count="37">
    <mergeCell ref="B3:C3"/>
    <mergeCell ref="B4:C4"/>
    <mergeCell ref="B5:C5"/>
    <mergeCell ref="B11:C11"/>
    <mergeCell ref="B12:C12"/>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109375" defaultRowHeight="14.4" x14ac:dyDescent="0.3"/>
  <cols>
    <col min="1" max="1" width="1.109375" customWidth="1"/>
    <col min="2" max="2" width="22.6640625" customWidth="1"/>
    <col min="3" max="10" width="12.33203125" customWidth="1"/>
    <col min="11" max="11" width="1.109375" customWidth="1"/>
    <col min="12" max="12" width="22.6640625" customWidth="1"/>
    <col min="13" max="20" width="12.33203125" customWidth="1"/>
  </cols>
  <sheetData>
    <row r="1" spans="2:14" x14ac:dyDescent="0.3">
      <c r="B1" s="86" t="s">
        <v>153</v>
      </c>
    </row>
    <row r="2" spans="2:14" x14ac:dyDescent="0.3">
      <c r="B2" s="86"/>
    </row>
    <row r="3" spans="2:14" x14ac:dyDescent="0.3">
      <c r="B3" s="86"/>
    </row>
    <row r="4" spans="2:14" x14ac:dyDescent="0.3">
      <c r="B4" s="6"/>
      <c r="I4" s="6"/>
      <c r="L4" s="6"/>
    </row>
    <row r="5" spans="2:14" ht="12.45" customHeight="1" x14ac:dyDescent="0.3">
      <c r="B5" s="6"/>
    </row>
    <row r="6" spans="2:14" ht="21" customHeight="1" x14ac:dyDescent="0.3">
      <c r="C6" s="8"/>
      <c r="D6" s="9"/>
      <c r="E6" s="9"/>
      <c r="F6" s="9"/>
      <c r="H6" s="6"/>
    </row>
    <row r="7" spans="2:14" s="5" customFormat="1" ht="21" customHeight="1" x14ac:dyDescent="0.3">
      <c r="C7" s="9"/>
      <c r="D7" s="9"/>
      <c r="E7" s="9"/>
      <c r="F7" s="9"/>
      <c r="H7" s="230"/>
      <c r="I7" s="230"/>
      <c r="J7" s="230"/>
      <c r="K7" s="230"/>
      <c r="L7" s="230"/>
      <c r="M7" s="230"/>
      <c r="N7" s="230"/>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2020-07-25T17:34:59Z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