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5A7A1E70-2D77-4F90-9049-7D4C291CE8B4}" xr6:coauthVersionLast="45" xr6:coauthVersionMax="45" xr10:uidLastSave="{00000000-0000-0000-0000-000000000000}"/>
  <bookViews>
    <workbookView xWindow="-108" yWindow="-108" windowWidth="23256" windowHeight="13176"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7" i="3" l="1"/>
  <c r="Z42" i="3"/>
  <c r="Y42" i="3"/>
  <c r="Z52" i="3"/>
  <c r="Z36" i="3"/>
  <c r="Z44" i="3"/>
  <c r="Y44" i="3"/>
  <c r="Z54" i="3"/>
  <c r="Z37" i="3"/>
  <c r="Z46" i="3"/>
  <c r="Y46" i="3"/>
  <c r="Z56" i="3"/>
  <c r="Z38" i="3"/>
  <c r="Z48" i="3"/>
  <c r="Y48" i="3"/>
  <c r="Z58" i="3"/>
  <c r="Z39" i="3"/>
  <c r="Z40" i="3"/>
  <c r="Z13" i="3"/>
  <c r="Z93" i="3"/>
  <c r="AA42" i="3"/>
  <c r="AA52" i="3"/>
  <c r="AA36" i="3"/>
  <c r="AA44" i="3"/>
  <c r="AA54" i="3"/>
  <c r="AA37" i="3"/>
  <c r="AA46" i="3"/>
  <c r="AA56" i="3"/>
  <c r="AA38" i="3"/>
  <c r="AA49" i="3"/>
  <c r="AA48" i="3"/>
  <c r="AA59" i="3"/>
  <c r="AA58" i="3"/>
  <c r="AA39" i="3"/>
  <c r="AA40" i="3"/>
  <c r="AA13" i="3"/>
  <c r="AA93" i="3"/>
  <c r="Y52" i="3"/>
  <c r="Y36" i="3"/>
  <c r="Y54" i="3"/>
  <c r="Y37" i="3"/>
  <c r="Y56" i="3"/>
  <c r="Y38" i="3"/>
  <c r="Y58" i="3"/>
  <c r="Y39" i="3"/>
  <c r="Y40" i="3"/>
  <c r="Y13" i="3"/>
  <c r="AB13" i="3"/>
  <c r="AB93" i="3"/>
  <c r="AC42" i="3"/>
  <c r="AC52" i="3"/>
  <c r="AC36" i="3"/>
  <c r="AC44" i="3"/>
  <c r="AC54" i="3"/>
  <c r="AC37" i="3"/>
  <c r="AC46" i="3"/>
  <c r="AC56" i="3"/>
  <c r="AC38" i="3"/>
  <c r="AC48" i="3"/>
  <c r="AC58" i="3"/>
  <c r="AC39" i="3"/>
  <c r="AC40" i="3"/>
  <c r="AC13" i="3"/>
  <c r="AC93" i="3"/>
  <c r="AD42" i="3"/>
  <c r="AD52" i="3"/>
  <c r="AD36" i="3"/>
  <c r="AD44" i="3"/>
  <c r="AD54" i="3"/>
  <c r="AD37" i="3"/>
  <c r="AD46" i="3"/>
  <c r="AD56" i="3"/>
  <c r="AD38" i="3"/>
  <c r="AD48" i="3"/>
  <c r="AD58" i="3"/>
  <c r="AD39" i="3"/>
  <c r="AD40" i="3"/>
  <c r="AD13" i="3"/>
  <c r="AD93" i="3"/>
  <c r="AE42" i="3"/>
  <c r="AE52" i="3"/>
  <c r="AE36" i="3"/>
  <c r="AE44" i="3"/>
  <c r="AE54" i="3"/>
  <c r="AE37" i="3"/>
  <c r="AE46" i="3"/>
  <c r="AE56" i="3"/>
  <c r="AE38" i="3"/>
  <c r="AE48" i="3"/>
  <c r="AE58" i="3"/>
  <c r="AE39" i="3"/>
  <c r="AE40" i="3"/>
  <c r="AE13" i="3"/>
  <c r="AE93" i="3"/>
  <c r="AF42" i="3"/>
  <c r="AF52" i="3"/>
  <c r="AF36" i="3"/>
  <c r="AF44" i="3"/>
  <c r="AF54" i="3"/>
  <c r="AF37" i="3"/>
  <c r="AF46" i="3"/>
  <c r="AF56" i="3"/>
  <c r="AF38" i="3"/>
  <c r="AF48" i="3"/>
  <c r="AF58" i="3"/>
  <c r="AF39" i="3"/>
  <c r="AF40" i="3"/>
  <c r="AF13" i="3"/>
  <c r="AF93" i="3"/>
  <c r="AG13" i="3"/>
  <c r="AG93" i="3"/>
  <c r="Z14" i="3"/>
  <c r="Z15" i="3"/>
  <c r="Z17" i="3"/>
  <c r="Z18" i="3"/>
  <c r="Z19" i="3"/>
  <c r="Z20" i="3"/>
  <c r="Z21" i="3"/>
  <c r="Z23" i="3"/>
  <c r="Z24" i="3"/>
  <c r="Z25" i="3"/>
  <c r="Y82" i="3"/>
  <c r="Y29" i="3"/>
  <c r="Z81" i="3"/>
  <c r="Z82" i="3"/>
  <c r="Z29" i="3"/>
  <c r="Z31" i="3"/>
  <c r="Z95" i="3"/>
  <c r="AA14" i="3"/>
  <c r="AA15" i="3"/>
  <c r="AA17" i="3"/>
  <c r="AA18" i="3"/>
  <c r="AA19" i="3"/>
  <c r="AA20" i="3"/>
  <c r="AA21" i="3"/>
  <c r="AA23" i="3"/>
  <c r="AA24" i="3"/>
  <c r="AA25" i="3"/>
  <c r="AA81" i="3"/>
  <c r="AA82" i="3"/>
  <c r="AA29" i="3"/>
  <c r="AA31" i="3"/>
  <c r="AA95" i="3"/>
  <c r="Y14" i="3"/>
  <c r="AB14" i="3"/>
  <c r="AB15" i="3"/>
  <c r="Y17" i="3"/>
  <c r="AB17" i="3"/>
  <c r="Y18" i="3"/>
  <c r="AB18" i="3"/>
  <c r="Y19" i="3"/>
  <c r="AB19" i="3"/>
  <c r="AB20" i="3"/>
  <c r="AB21" i="3"/>
  <c r="AB23" i="3"/>
  <c r="Y15" i="3"/>
  <c r="Y20" i="3"/>
  <c r="Y21" i="3"/>
  <c r="Y23" i="3"/>
  <c r="Y24" i="3"/>
  <c r="AB24" i="3"/>
  <c r="AB25" i="3"/>
  <c r="Y25" i="3"/>
  <c r="AB29" i="3"/>
  <c r="AB31" i="3"/>
  <c r="AB95" i="3"/>
  <c r="AC14" i="3"/>
  <c r="AC15" i="3"/>
  <c r="AC17" i="3"/>
  <c r="AC18" i="3"/>
  <c r="AC19" i="3"/>
  <c r="AC20" i="3"/>
  <c r="AC21" i="3"/>
  <c r="AC23" i="3"/>
  <c r="AC24" i="3"/>
  <c r="AC25" i="3"/>
  <c r="AC80" i="3"/>
  <c r="AC81" i="3"/>
  <c r="AC82" i="3"/>
  <c r="AC29" i="3"/>
  <c r="AC31" i="3"/>
  <c r="AC95" i="3"/>
  <c r="AD14" i="3"/>
  <c r="AD15" i="3"/>
  <c r="AD17" i="3"/>
  <c r="AD18" i="3"/>
  <c r="AD19" i="3"/>
  <c r="AD20" i="3"/>
  <c r="AD21" i="3"/>
  <c r="AD23" i="3"/>
  <c r="AD24" i="3"/>
  <c r="AD25" i="3"/>
  <c r="AD80" i="3"/>
  <c r="AD81" i="3"/>
  <c r="AD82" i="3"/>
  <c r="AD29" i="3"/>
  <c r="AD31" i="3"/>
  <c r="AD95" i="3"/>
  <c r="AE14" i="3"/>
  <c r="AE15" i="3"/>
  <c r="AE17" i="3"/>
  <c r="AE18" i="3"/>
  <c r="AE19" i="3"/>
  <c r="AE20" i="3"/>
  <c r="AE21" i="3"/>
  <c r="AE23" i="3"/>
  <c r="AE24" i="3"/>
  <c r="AE25" i="3"/>
  <c r="AE80" i="3"/>
  <c r="AE81" i="3"/>
  <c r="AE82" i="3"/>
  <c r="AE29" i="3"/>
  <c r="AE31" i="3"/>
  <c r="AE95" i="3"/>
  <c r="AF14" i="3"/>
  <c r="AF15" i="3"/>
  <c r="AF17" i="3"/>
  <c r="AF18" i="3"/>
  <c r="AF19" i="3"/>
  <c r="AF20" i="3"/>
  <c r="AF21" i="3"/>
  <c r="AF23" i="3"/>
  <c r="AF24" i="3"/>
  <c r="AF25" i="3"/>
  <c r="AF80" i="3"/>
  <c r="AF81" i="3"/>
  <c r="AF82" i="3"/>
  <c r="AF29" i="3"/>
  <c r="AF31" i="3"/>
  <c r="AF95" i="3"/>
  <c r="AG14" i="3"/>
  <c r="AG15" i="3"/>
  <c r="AG17" i="3"/>
  <c r="AG18" i="3"/>
  <c r="AG19" i="3"/>
  <c r="AG20" i="3"/>
  <c r="AG21" i="3"/>
  <c r="AG23" i="3"/>
  <c r="AG24" i="3"/>
  <c r="AG25" i="3"/>
  <c r="AG29" i="3"/>
  <c r="AG31" i="3"/>
  <c r="AG95" i="3"/>
  <c r="Y31" i="3"/>
  <c r="Y95" i="3"/>
  <c r="Y93" i="3"/>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T43" i="3"/>
  <c r="U43" i="3"/>
  <c r="V43" i="3"/>
  <c r="X43" i="3"/>
  <c r="T53" i="3"/>
  <c r="U53" i="3"/>
  <c r="V53" i="3"/>
  <c r="X53" i="3"/>
  <c r="T45" i="3"/>
  <c r="U45" i="3"/>
  <c r="V45" i="3"/>
  <c r="X45" i="3"/>
  <c r="T55" i="3"/>
  <c r="U55" i="3"/>
  <c r="V55" i="3"/>
  <c r="X55" i="3"/>
  <c r="T47" i="3"/>
  <c r="U47" i="3"/>
  <c r="V47" i="3"/>
  <c r="X47" i="3"/>
  <c r="T57" i="3"/>
  <c r="U57" i="3"/>
  <c r="V57" i="3"/>
  <c r="X57" i="3"/>
  <c r="T49" i="3"/>
  <c r="U49" i="3"/>
  <c r="V49" i="3"/>
  <c r="X49" i="3"/>
  <c r="T59" i="3"/>
  <c r="U59" i="3"/>
  <c r="V59" i="3"/>
  <c r="X59" i="3"/>
  <c r="Y22" i="3"/>
  <c r="Z22" i="3"/>
  <c r="AA22" i="3"/>
  <c r="AC22" i="3"/>
  <c r="X76" i="3"/>
  <c r="AC76" i="3"/>
  <c r="AD22" i="3"/>
  <c r="AD76" i="3"/>
  <c r="AE70" i="3"/>
  <c r="AE71" i="3"/>
  <c r="AE72" i="3"/>
  <c r="AE22" i="3"/>
  <c r="AE76" i="3"/>
  <c r="AF70" i="3"/>
  <c r="AF22" i="3"/>
  <c r="AF76"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22" i="3"/>
  <c r="AG22" i="3"/>
  <c r="W29" i="3"/>
  <c r="T80" i="3"/>
  <c r="T82" i="3"/>
  <c r="T79" i="3"/>
  <c r="U80" i="3"/>
  <c r="U82" i="3"/>
  <c r="U79" i="3"/>
  <c r="V80" i="3"/>
  <c r="V82" i="3"/>
  <c r="V79" i="3"/>
  <c r="X80" i="3"/>
  <c r="X82" i="3"/>
  <c r="X79" i="3"/>
  <c r="Y79" i="3"/>
  <c r="Z79" i="3"/>
  <c r="AA79" i="3"/>
  <c r="AC79" i="3"/>
  <c r="AD79" i="3"/>
  <c r="AE79" i="3"/>
  <c r="AF79" i="3"/>
  <c r="U31" i="3"/>
  <c r="V31" i="3"/>
  <c r="X31" i="3"/>
  <c r="AD84" i="3"/>
  <c r="AE84" i="3"/>
  <c r="AF84" i="3"/>
  <c r="Y84" i="3"/>
  <c r="X69" i="3"/>
  <c r="X70" i="3"/>
  <c r="X71" i="3"/>
  <c r="X72" i="3"/>
  <c r="AG73" i="3"/>
  <c r="AB73" i="3"/>
  <c r="W73" i="3"/>
  <c r="R73" i="3"/>
  <c r="M73" i="3"/>
  <c r="H73" i="3"/>
  <c r="T76" i="3"/>
  <c r="U76" i="3"/>
  <c r="V76" i="3"/>
  <c r="X78" i="3"/>
  <c r="V78" i="3"/>
  <c r="V69" i="3"/>
  <c r="V70" i="3"/>
  <c r="V71" i="3"/>
  <c r="V72" i="3"/>
  <c r="V89" i="3"/>
  <c r="V88" i="3"/>
  <c r="V87" i="3"/>
  <c r="V86" i="3"/>
  <c r="Y89" i="3"/>
  <c r="Z89" i="3"/>
  <c r="AA89" i="3"/>
  <c r="AC89" i="3"/>
  <c r="AD89" i="3"/>
  <c r="AE89" i="3"/>
  <c r="AF89" i="3"/>
  <c r="Y88" i="3"/>
  <c r="Z88" i="3"/>
  <c r="AA88" i="3"/>
  <c r="AC88" i="3"/>
  <c r="AD88" i="3"/>
  <c r="AE88" i="3"/>
  <c r="AF88" i="3"/>
  <c r="Y87" i="3"/>
  <c r="Z87" i="3"/>
  <c r="AA87" i="3"/>
  <c r="AC87" i="3"/>
  <c r="AD87" i="3"/>
  <c r="AE87" i="3"/>
  <c r="AF87" i="3"/>
  <c r="Y86"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Y78" i="3"/>
  <c r="Y28" i="3"/>
  <c r="Z78" i="3"/>
  <c r="Z28" i="3"/>
  <c r="Z30" i="3"/>
  <c r="W28" i="3"/>
  <c r="W30" i="3"/>
  <c r="W31" i="3"/>
  <c r="X30" i="3"/>
  <c r="AA78" i="3"/>
  <c r="AA28" i="3"/>
  <c r="AA30" i="3"/>
  <c r="Y30" i="3"/>
  <c r="AC78" i="3"/>
  <c r="AC28" i="3"/>
  <c r="AC30" i="3"/>
  <c r="AB28" i="3"/>
  <c r="AB30" i="3"/>
  <c r="AD78" i="3"/>
  <c r="AD28" i="3"/>
  <c r="AE78" i="3"/>
  <c r="AE28" i="3"/>
  <c r="AE30" i="3"/>
  <c r="AF78" i="3"/>
  <c r="AD30" i="3"/>
  <c r="AF28" i="3"/>
  <c r="AG28" i="3"/>
  <c r="AG30" i="3"/>
  <c r="AF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rgb="FF000000"/>
            <rFont val="Tahoma"/>
            <family val="2"/>
          </rPr>
          <t xml:space="preserve">1Q2019 Earnings Call: </t>
        </r>
        <r>
          <rPr>
            <sz val="9"/>
            <color rgb="FF000000"/>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t>
        </r>
        <r>
          <rPr>
            <sz val="9"/>
            <color rgb="FF000000"/>
            <rFont val="Tahoma"/>
            <family val="2"/>
          </rPr>
          <t xml:space="preserve">
</t>
        </r>
        <r>
          <rPr>
            <sz val="9"/>
            <color rgb="FF000000"/>
            <rFont val="Tahoma"/>
            <family val="2"/>
          </rPr>
          <t xml:space="preserve">"We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t>
        </r>
        <r>
          <rPr>
            <sz val="9"/>
            <color rgb="FF000000"/>
            <rFont val="Tahoma"/>
            <family val="2"/>
          </rPr>
          <t xml:space="preserve">
</t>
        </r>
        <r>
          <rPr>
            <sz val="9"/>
            <color rgb="FF000000"/>
            <rFont val="Tahoma"/>
            <family val="2"/>
          </rPr>
          <t xml:space="preserve">"On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t>
        </r>
        <r>
          <rPr>
            <sz val="9"/>
            <color rgb="FF000000"/>
            <rFont val="Tahoma"/>
            <family val="2"/>
          </rPr>
          <t xml:space="preserve">
</t>
        </r>
        <r>
          <rPr>
            <sz val="9"/>
            <color rgb="FF000000"/>
            <rFont val="Tahoma"/>
            <family val="2"/>
          </rPr>
          <t xml:space="preserve">"On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t>
        </r>
        <r>
          <rPr>
            <sz val="9"/>
            <color rgb="FF000000"/>
            <rFont val="Tahoma"/>
            <family val="2"/>
          </rPr>
          <t xml:space="preserve">But at the level it is at currently, we don't have that lever as strong going forward. So that's like contributor to -- deceleration on growth in North America and across the world."
</t>
        </r>
        <r>
          <rPr>
            <sz val="9"/>
            <color rgb="FF000000"/>
            <rFont val="Tahoma"/>
            <family val="2"/>
          </rPr>
          <t xml:space="preserve">
</t>
        </r>
        <r>
          <rPr>
            <sz val="9"/>
            <color rgb="FF000000"/>
            <rFont val="Tahoma"/>
            <family val="2"/>
          </rPr>
          <t xml:space="preserve">"And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rgb="FF000000"/>
            <rFont val="Tahoma"/>
            <family val="2"/>
          </rPr>
          <t xml:space="preserve">2Q2019 Earnings Call Guidance: </t>
        </r>
        <r>
          <rPr>
            <sz val="9"/>
            <color rgb="FF000000"/>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rgb="FF000000"/>
            <rFont val="Tahoma"/>
            <family val="2"/>
          </rPr>
          <t xml:space="preserve">
</t>
        </r>
        <r>
          <rPr>
            <b/>
            <sz val="9"/>
            <color rgb="FF000000"/>
            <rFont val="Tahoma"/>
            <family val="2"/>
          </rPr>
          <t xml:space="preserve">
</t>
        </r>
        <r>
          <rPr>
            <b/>
            <sz val="9"/>
            <color rgb="FF000000"/>
            <rFont val="Tahoma"/>
            <family val="2"/>
          </rPr>
          <t xml:space="preserve">Prior Gudiance:
</t>
        </r>
        <r>
          <rPr>
            <b/>
            <sz val="9"/>
            <color rgb="FF000000"/>
            <rFont val="Tahoma"/>
            <family val="2"/>
          </rPr>
          <t xml:space="preserve">1Q2019 Earnings Call Guidance: </t>
        </r>
        <r>
          <rPr>
            <sz val="9"/>
            <color rgb="FF000000"/>
            <rFont val="Tahoma"/>
            <family val="2"/>
          </rPr>
          <t xml:space="preserve">"We continue to expect that our revenue growth rates will decelerate sequentially throughout 2019 on a constant currency basis. In addition, we anticipate ad targeting related headwinds will be more pronounced in the second half of 2019." 
</t>
        </r>
        <r>
          <rPr>
            <sz val="9"/>
            <color rgb="FF000000"/>
            <rFont val="Tahoma"/>
            <family val="2"/>
          </rPr>
          <t xml:space="preserve">"And then, Dave, just to come back to your comments about revenue for the year you mentioned the ad targeting headwinds would be more pronounced in the second half. Can you help us better understand why that is, the sort of changes to expect that would drive that? " 
</t>
        </r>
        <r>
          <rPr>
            <sz val="9"/>
            <color rgb="FF000000"/>
            <rFont val="Tahoma"/>
            <family val="2"/>
          </rPr>
          <t xml:space="preserve">"We already talked about on the supply side the impact that Stories is having. And the supply growth really getting driven by Stories is coming through at lower prices, so that's one of the factors that factors into the lower growth outlook for the second half.
</t>
        </r>
        <r>
          <rPr>
            <sz val="9"/>
            <color rgb="FF000000"/>
            <rFont val="Tahoma"/>
            <family val="2"/>
          </rPr>
          <t xml:space="preserve">
</t>
        </r>
        <r>
          <rPr>
            <sz val="9"/>
            <color rgb="FF000000"/>
            <rFont val="Tahoma"/>
            <family val="2"/>
          </rPr>
          <t xml:space="preserve">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t>
        </r>
        <r>
          <rPr>
            <sz val="9"/>
            <color rgb="FF000000"/>
            <rFont val="Tahoma"/>
            <family val="2"/>
          </rPr>
          <t xml:space="preserve">seen that come up both in Europe and around the world. That means those people are seeing new less relevant ads and that's an ad targeting headwind for our business.
</t>
        </r>
        <r>
          <rPr>
            <sz val="9"/>
            <color rgb="FF000000"/>
            <rFont val="Tahoma"/>
            <family val="2"/>
          </rPr>
          <t xml:space="preserve">
</t>
        </r>
        <r>
          <rPr>
            <sz val="9"/>
            <color rgb="FF000000"/>
            <rFont val="Tahoma"/>
            <family val="2"/>
          </rPr>
          <t>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rgb="FF000000"/>
            <rFont val="Tahoma"/>
            <family val="2"/>
          </rPr>
          <t xml:space="preserve">
</t>
        </r>
        <r>
          <rPr>
            <b/>
            <sz val="9"/>
            <color rgb="FF000000"/>
            <rFont val="Tahoma"/>
            <family val="2"/>
          </rPr>
          <t xml:space="preserve">
</t>
        </r>
        <r>
          <rPr>
            <b/>
            <sz val="9"/>
            <color rgb="FF000000"/>
            <rFont val="Tahoma"/>
            <family val="2"/>
          </rPr>
          <t xml:space="preserve">4Q2018 Earnings call guidance: </t>
        </r>
        <r>
          <rPr>
            <sz val="9"/>
            <color rgb="FF000000"/>
            <rFont val="Tahoma"/>
            <family val="2"/>
          </rPr>
          <t xml:space="preserve">"In Q1, we expect our total revenue growth rate to decelerate by a mid-single digit percentage on a constant currency basis compared to the Q4 rate. We also expect that our revenue growth rates will continue to decelerate sequentially throughout 2019 on a constant currency basis."
</t>
        </r>
        <r>
          <rPr>
            <sz val="9"/>
            <color rgb="FF000000"/>
            <rFont val="Tahoma"/>
            <family val="2"/>
          </rPr>
          <t xml:space="preserve">
</t>
        </r>
        <r>
          <rPr>
            <sz val="9"/>
            <color rgb="FF000000"/>
            <rFont val="Tahoma"/>
            <family val="2"/>
          </rPr>
          <t xml:space="preserve">"We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t>
        </r>
        <r>
          <rPr>
            <sz val="9"/>
            <color rgb="FF000000"/>
            <rFont val="Tahoma"/>
            <family val="2"/>
          </rPr>
          <t>-Dave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rgb="FF000000"/>
            <rFont val="Tahoma"/>
            <family val="2"/>
          </rPr>
          <t xml:space="preserve">2Q2019 Earnings Call Guidance: </t>
        </r>
        <r>
          <rPr>
            <sz val="9"/>
            <color rgb="FF000000"/>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rgb="FF000000"/>
            <rFont val="Tahoma"/>
            <family val="2"/>
          </rPr>
          <t xml:space="preserve">
</t>
        </r>
        <r>
          <rPr>
            <b/>
            <sz val="9"/>
            <color rgb="FF000000"/>
            <rFont val="Tahoma"/>
            <family val="2"/>
          </rPr>
          <t xml:space="preserve">
</t>
        </r>
        <r>
          <rPr>
            <b/>
            <sz val="9"/>
            <color rgb="FF000000"/>
            <rFont val="Tahoma"/>
            <family val="2"/>
          </rPr>
          <t xml:space="preserve">Prior Guidance:
</t>
        </r>
        <r>
          <rPr>
            <b/>
            <sz val="9"/>
            <color rgb="FF000000"/>
            <rFont val="Tahoma"/>
            <family val="2"/>
          </rPr>
          <t xml:space="preserve">1Q2019 Earnings Call Guidance: </t>
        </r>
        <r>
          <rPr>
            <sz val="9"/>
            <color rgb="FF000000"/>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rgb="FF000000"/>
            <rFont val="Tahoma"/>
            <family val="2"/>
          </rPr>
          <t xml:space="preserve">
</t>
        </r>
        <r>
          <rPr>
            <b/>
            <sz val="9"/>
            <color rgb="FF000000"/>
            <rFont val="Tahoma"/>
            <family val="2"/>
          </rPr>
          <t xml:space="preserve">
</t>
        </r>
        <r>
          <rPr>
            <b/>
            <sz val="9"/>
            <color rgb="FF000000"/>
            <rFont val="Tahoma"/>
            <family val="2"/>
          </rPr>
          <t>4Q2018 Earnings call guidance: "</t>
        </r>
        <r>
          <rPr>
            <sz val="9"/>
            <color rgb="FF000000"/>
            <rFont val="Tahoma"/>
            <family val="2"/>
          </rPr>
          <t xml:space="preserve">On a full-year basis, we continue to expect 2019 total expenses will grow approximately 40-50% compared to 2018."
</t>
        </r>
        <r>
          <rPr>
            <sz val="9"/>
            <color rgb="FF000000"/>
            <rFont val="Tahoma"/>
            <family val="2"/>
          </rPr>
          <t xml:space="preserve">
</t>
        </r>
        <r>
          <rPr>
            <sz val="9"/>
            <color rgb="FF000000"/>
            <rFont val="Tahoma"/>
            <family val="2"/>
          </rPr>
          <t xml:space="preserve">"I would note that the 62 percent expense growth that we saw in Q4 we don't expect to continue. You know, there's the continuing underlying secular factors that are driving the expense growth rate. That's the investment in infrastructure, which is
</t>
        </r>
        <r>
          <rPr>
            <sz val="9"/>
            <color rgb="FF000000"/>
            <rFont val="Tahoma"/>
            <family val="2"/>
          </rPr>
          <t xml:space="preserve">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t>
        </r>
        <r>
          <rPr>
            <sz val="9"/>
            <color rgb="FF000000"/>
            <rFont val="Tahoma"/>
            <family val="2"/>
          </rPr>
          <t xml:space="preserve">Oculus Go. I think I called that out on the call. And that's -- so we would expect that to tick down in 2019, so I wouldn't expect that 62 percent growth rate into Q1."
</t>
        </r>
        <r>
          <rPr>
            <sz val="9"/>
            <color rgb="FF000000"/>
            <rFont val="Tahoma"/>
            <family val="2"/>
          </rPr>
          <t>-Dave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rgb="FF000000"/>
            <rFont val="Tahoma"/>
            <family val="2"/>
          </rPr>
          <t xml:space="preserve">2Q2019 Earnings call guidance: </t>
        </r>
        <r>
          <rPr>
            <sz val="9"/>
            <color rgb="FF000000"/>
            <rFont val="Tahoma"/>
            <family val="2"/>
          </rPr>
          <t xml:space="preserve">"We expect our tax rate for the remaining quarters of 2019 to be approximately 16%."
</t>
        </r>
        <r>
          <rPr>
            <b/>
            <sz val="9"/>
            <color rgb="FF000000"/>
            <rFont val="Tahoma"/>
            <family val="2"/>
          </rPr>
          <t xml:space="preserve">
</t>
        </r>
        <r>
          <rPr>
            <b/>
            <sz val="9"/>
            <color rgb="FF000000"/>
            <rFont val="Tahoma"/>
            <family val="2"/>
          </rPr>
          <t xml:space="preserve">Prior guidance:
</t>
        </r>
        <r>
          <rPr>
            <b/>
            <sz val="9"/>
            <color rgb="FF000000"/>
            <rFont val="Tahoma"/>
            <family val="2"/>
          </rPr>
          <t xml:space="preserve">1Q2019 Earnings call guidance: </t>
        </r>
        <r>
          <rPr>
            <sz val="9"/>
            <color rgb="FF000000"/>
            <rFont val="Tahoma"/>
            <family val="2"/>
          </rPr>
          <t>"We expect our tax rate for the remaining quarters of 2019 to be in the mid-teens."</t>
        </r>
        <r>
          <rPr>
            <b/>
            <sz val="9"/>
            <color rgb="FF000000"/>
            <rFont val="Tahoma"/>
            <family val="2"/>
          </rPr>
          <t xml:space="preserve">
</t>
        </r>
        <r>
          <rPr>
            <b/>
            <sz val="9"/>
            <color rgb="FF000000"/>
            <rFont val="Tahoma"/>
            <family val="2"/>
          </rPr>
          <t xml:space="preserve">
</t>
        </r>
        <r>
          <rPr>
            <b/>
            <sz val="9"/>
            <color rgb="FF000000"/>
            <rFont val="Tahoma"/>
            <family val="2"/>
          </rPr>
          <t>4Q2018 Earnings call guidance:</t>
        </r>
        <r>
          <rPr>
            <sz val="9"/>
            <color rgb="FF000000"/>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<sst xmlns="http://schemas.openxmlformats.org/spreadsheetml/2006/main" count="443" uniqueCount="160">
  <si>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</si>
  <si>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</si>
  <si>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</si>
  <si>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</si>
  <si>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</si>
  <si>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</si>
  <si>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</si>
  <si>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</si>
  <si>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</si>
  <si>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</si>
  <si>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</si>
  <si>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</si>
  <si>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</si>
  <si>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</si>
  <si>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</si>
  <si>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</si>
  <si>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</si>
  <si>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</si>
  <si>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</si>
  <si>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</si>
  <si>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</si>
  <si>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</si>
  <si>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</si>
  <si>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</si>
  <si>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</si>
  <si>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</si>
  <si>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</si>
  <si>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</si>
  <si>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</si>
  <si>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</si>
  <si>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</si>
  <si>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</si>
  <si>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</si>
  <si>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</si>
  <si>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</si>
  <si>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</si>
  <si>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</si>
  <si>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</si>
  <si>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</si>
  <si>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</si>
  <si>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</si>
  <si>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</si>
  <si>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</si>
  <si>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</si>
  <si>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</si>
  <si>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</si>
  <si>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</si>
  <si>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</si>
  <si>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</si>
  <si>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</si>
  <si>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</si>
  <si>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</si>
  <si>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</si>
  <si>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</si>
  <si>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</si>
  <si>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</si>
  <si>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</si>
  <si>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</si>
  <si>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</si>
  <si>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</si>
  <si>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</si>
  <si>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</si>
  <si>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</si>
  <si>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</si>
  <si>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</si>
  <si>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</si>
  <si>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</si>
  <si>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</si>
  <si>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</si>
  <si>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</si>
  <si>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</si>
  <si>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</si>
  <si>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</si>
  <si>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</si>
  <si>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</si>
  <si>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</si>
  <si>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</si>
  <si>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</si>
  <si>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</si>
  <si>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</si>
  <si>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</si>
  <si>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</si>
  <si>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</si>
  <si>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</si>
  <si>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</si>
  <si>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</si>
  <si>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</si>
  <si>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</si>
  <si>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</si>
  <si>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</si>
  <si>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</si>
  <si>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</si>
  <si>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</si>
  <si>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</si>
  <si>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</si>
  <si>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</si>
  <si>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</si>
  <si>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</si>
  <si>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</si>
  <si>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</si>
  <si>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</si>
  <si>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</si>
  <si>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</si>
  <si>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</si>
  <si>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</si>
  <si>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</si>
  <si>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</si>
  <si>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</si>
  <si>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</si>
  <si>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</si>
  <si>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</si>
  <si>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</si>
  <si>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</si>
  <si>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</si>
  <si>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</si>
  <si>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</si>
  <si>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</si>
  <si>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</si>
  <si>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</si>
  <si>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</si>
  <si>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</si>
  <si>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</si>
  <si>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</si>
  <si>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</si>
  <si>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</si>
  <si>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</si>
  <si>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</si>
  <si>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</si>
  <si>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</si>
  <si>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</si>
  <si>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</si>
  <si>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</si>
  <si>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</si>
  <si>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</si>
  <si>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</si>
  <si>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</si>
  <si>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</si>
  <si>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</si>
  <si>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</si>
  <si>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</si>
  <si>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</si>
  <si>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</si>
  <si>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</si>
  <si>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</si>
  <si>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</si>
  <si>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</si>
  <si>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</si>
  <si>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</si>
  <si>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</si>
  <si>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</si>
  <si>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</si>
  <si>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</si>
  <si>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</si>
  <si>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</si>
  <si>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</si>
  <si>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</si>
  <si>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</si>
  <si>
    <t>% Difference</t>
  </si>
  <si>
    <t>Consensus Analyst Estimates</t>
  </si>
  <si>
    <t>Consensus Analyst Esimates Diluted 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</si>
</sst>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
      <sz val="11"/>
      <color theme="4"/>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3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43" fontId="1" fillId="0" borderId="0" xfId="1" applyFont="1" applyFill="1" applyAlignment="1">
      <alignment horizontal="right"/>
    </xf>
    <xf numFmtId="166" fontId="1" fillId="0" borderId="0" xfId="2" applyNumberFormat="1" applyFont="1" applyFill="1" applyAlignment="1">
      <alignment horizontal="left"/>
    </xf>
    <xf numFmtId="166" fontId="1" fillId="0" borderId="0" xfId="2" applyNumberFormat="1" applyFont="1" applyFill="1" applyAlignment="1">
      <alignment horizontal="right"/>
    </xf>
    <xf numFmtId="9" fontId="1" fillId="0" borderId="0" xfId="2" applyFont="1" applyFill="1" applyAlignment="1">
      <alignment horizontal="right"/>
    </xf>
    <xf numFmtId="165" fontId="1" fillId="0" borderId="0" xfId="1" applyNumberFormat="1" applyFont="1" applyFill="1" applyAlignment="1">
      <alignment horizontal="right"/>
    </xf>
    <xf numFmtId="0" fontId="4" fillId="0" borderId="1" xfId="0" applyFont="1" applyBorder="1" applyAlignment="1">
      <alignment horizontal="right"/>
    </xf>
    <xf numFmtId="164" fontId="1" fillId="9" borderId="2" xfId="1" applyNumberFormat="1" applyFont="1" applyFill="1" applyBorder="1" applyAlignment="1">
      <alignment horizontal="right"/>
    </xf>
    <xf numFmtId="0" fontId="1" fillId="9" borderId="2" xfId="0" applyFont="1" applyFill="1" applyBorder="1" applyAlignment="1">
      <alignment horizontal="right"/>
    </xf>
    <xf numFmtId="0" fontId="1" fillId="9" borderId="11" xfId="0" applyFont="1" applyFill="1" applyBorder="1" applyAlignment="1">
      <alignment horizontal="right"/>
    </xf>
    <xf numFmtId="0" fontId="4" fillId="0" borderId="3" xfId="0" applyFont="1" applyBorder="1" applyAlignment="1">
      <alignment horizontal="right"/>
    </xf>
    <xf numFmtId="10" fontId="80" fillId="0" borderId="0" xfId="1" applyNumberFormat="1" applyFont="1" applyBorder="1" applyAlignment="1">
      <alignment horizontal="right"/>
    </xf>
    <xf numFmtId="10" fontId="80" fillId="0" borderId="4" xfId="1" applyNumberFormat="1" applyFont="1" applyBorder="1" applyAlignment="1">
      <alignment horizontal="right"/>
    </xf>
    <xf numFmtId="164" fontId="1" fillId="9" borderId="0" xfId="1" applyNumberFormat="1" applyFont="1" applyFill="1" applyBorder="1" applyAlignment="1">
      <alignment horizontal="right"/>
    </xf>
    <xf numFmtId="0" fontId="1" fillId="9" borderId="0" xfId="0" applyFont="1" applyFill="1" applyBorder="1" applyAlignment="1">
      <alignment horizontal="right"/>
    </xf>
    <xf numFmtId="0" fontId="1" fillId="9" borderId="4" xfId="0" applyFont="1" applyFill="1" applyBorder="1" applyAlignment="1">
      <alignment horizontal="right"/>
    </xf>
    <xf numFmtId="9" fontId="80" fillId="0" borderId="7" xfId="1" applyNumberFormat="1" applyFont="1" applyBorder="1"/>
    <xf numFmtId="9" fontId="80" fillId="0" borderId="10" xfId="1" applyNumberFormat="1" applyFont="1" applyBorder="1"/>
    <xf numFmtId="0" fontId="4" fillId="0" borderId="2" xfId="0" applyFont="1" applyBorder="1" applyAlignment="1">
      <alignment horizontal="right"/>
    </xf>
    <xf numFmtId="0" fontId="4" fillId="0" borderId="0" xfId="0" applyFont="1" applyBorder="1" applyAlignment="1">
      <alignment horizontal="right"/>
    </xf>
    <xf numFmtId="43" fontId="4" fillId="0" borderId="3" xfId="1" applyFont="1" applyBorder="1" applyAlignment="1">
      <alignment horizontal="right"/>
    </xf>
    <xf numFmtId="43" fontId="4" fillId="0" borderId="6" xfId="1" applyFont="1" applyFill="1" applyBorder="1" applyAlignment="1">
      <alignment horizontal="right"/>
    </xf>
    <xf numFmtId="0" fontId="4" fillId="0" borderId="7" xfId="0" applyFont="1" applyBorder="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2653.2400000000002</c:v>
                </c:pt>
                <c:pt idx="5">
                  <c:v>2663.9500000000003</c:v>
                </c:pt>
                <c:pt idx="6">
                  <c:v>2712.7694538541668</c:v>
                </c:pt>
                <c:pt idx="7">
                  <c:v>2797.79</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7.2543941216535019</c:v>
                </c:pt>
                <c:pt idx="5">
                  <c:v>7.7452778817382857</c:v>
                </c:pt>
                <c:pt idx="6">
                  <c:v>9.2823616954759451</c:v>
                </c:pt>
                <c:pt idx="7">
                  <c:v>7.9902158352526529</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workbookViewId="0">
      <selection activeCell="B4" sqref="B4"/>
    </sheetView>
  </sheetViews>
  <sheetFormatPr defaultColWidth="8.77734375" defaultRowHeight="14.4" x14ac:dyDescent="0.3"/>
  <cols>
    <col min="1" max="1" width="1" customWidth="1"/>
    <col min="2" max="2" width="182.6640625" style="117" customWidth="1"/>
  </cols>
  <sheetData>
    <row r="2" spans="2:2" ht="21" x14ac:dyDescent="0.3">
      <c r="B2" s="122" t="s">
        <v>119</v>
      </c>
    </row>
    <row r="3" spans="2:2" ht="115.2" x14ac:dyDescent="0.3">
      <c r="B3" s="112" t="s">
        <v>152</v>
      </c>
    </row>
    <row r="4" spans="2:2" ht="43.2" x14ac:dyDescent="0.3">
      <c r="B4" s="113" t="s">
        <v>120</v>
      </c>
    </row>
    <row r="5" spans="2:2" ht="28.8" x14ac:dyDescent="0.3">
      <c r="B5" s="113" t="s">
        <v>132</v>
      </c>
    </row>
    <row r="6" spans="2:2" ht="100.8" x14ac:dyDescent="0.3">
      <c r="B6" s="113" t="s">
        <v>121</v>
      </c>
    </row>
    <row r="7" spans="2:2" ht="43.2" x14ac:dyDescent="0.3">
      <c r="B7" s="112" t="s">
        <v>140</v>
      </c>
    </row>
    <row r="8" spans="2:2" ht="28.8" x14ac:dyDescent="0.3">
      <c r="B8" s="113" t="s">
        <v>122</v>
      </c>
    </row>
    <row r="9" spans="2:2" x14ac:dyDescent="0.3">
      <c r="B9" s="113" t="s">
        <v>123</v>
      </c>
    </row>
    <row r="10" spans="2:2" ht="57.6" x14ac:dyDescent="0.3">
      <c r="B10" s="123" t="s">
        <v>124</v>
      </c>
    </row>
    <row r="11" spans="2:2" x14ac:dyDescent="0.3">
      <c r="B11" s="112" t="s">
        <v>133</v>
      </c>
    </row>
    <row r="12" spans="2:2" x14ac:dyDescent="0.3">
      <c r="B12" s="113" t="s">
        <v>125</v>
      </c>
    </row>
    <row r="13" spans="2:2" ht="43.2" x14ac:dyDescent="0.3">
      <c r="B13" s="112" t="s">
        <v>134</v>
      </c>
    </row>
    <row r="14" spans="2:2" x14ac:dyDescent="0.3">
      <c r="B14" s="124" t="s">
        <v>126</v>
      </c>
    </row>
    <row r="15" spans="2:2" x14ac:dyDescent="0.3">
      <c r="B15" s="114" t="s">
        <v>127</v>
      </c>
    </row>
    <row r="16" spans="2:2" x14ac:dyDescent="0.3">
      <c r="B16" s="114" t="s">
        <v>128</v>
      </c>
    </row>
    <row r="17" spans="2:2" ht="162" customHeight="1" x14ac:dyDescent="0.3">
      <c r="B17" s="125" t="s">
        <v>129</v>
      </c>
    </row>
    <row r="18" spans="2:2" x14ac:dyDescent="0.3">
      <c r="B18" s="115" t="s">
        <v>130</v>
      </c>
    </row>
    <row r="19" spans="2:2" x14ac:dyDescent="0.3">
      <c r="B19" s="116" t="s">
        <v>131</v>
      </c>
    </row>
    <row r="21" spans="2:2" ht="21" x14ac:dyDescent="0.3">
      <c r="B21" s="122" t="s">
        <v>135</v>
      </c>
    </row>
    <row r="22" spans="2:2" x14ac:dyDescent="0.3">
      <c r="B22" s="118" t="s">
        <v>136</v>
      </c>
    </row>
    <row r="23" spans="2:2" ht="100.8" x14ac:dyDescent="0.3">
      <c r="B23" s="119" t="s">
        <v>137</v>
      </c>
    </row>
    <row r="24" spans="2:2" ht="43.2" x14ac:dyDescent="0.3">
      <c r="B24" s="120" t="s">
        <v>138</v>
      </c>
    </row>
    <row r="25" spans="2:2" ht="172.8" x14ac:dyDescent="0.3">
      <c r="B25" s="121"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9"/>
  <sheetViews>
    <sheetView showGridLines="0" tabSelected="1" zoomScaleNormal="100" workbookViewId="0">
      <pane xSplit="3" ySplit="12" topLeftCell="S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26" t="s">
        <v>15</v>
      </c>
    </row>
    <row r="2" spans="1:61" ht="59.25" customHeight="1" x14ac:dyDescent="0.3">
      <c r="B2" s="212" t="s">
        <v>14</v>
      </c>
      <c r="C2" s="213"/>
      <c r="K2" s="12"/>
    </row>
    <row r="3" spans="1:61" x14ac:dyDescent="0.3">
      <c r="B3" s="224" t="s">
        <v>154</v>
      </c>
      <c r="C3" s="225"/>
      <c r="D3" s="13"/>
      <c r="G3" s="14"/>
      <c r="H3" s="14"/>
    </row>
    <row r="4" spans="1:61" x14ac:dyDescent="0.3">
      <c r="B4" s="226" t="s">
        <v>155</v>
      </c>
      <c r="C4" s="227"/>
      <c r="D4" s="13"/>
      <c r="G4" s="14"/>
      <c r="H4" s="14"/>
      <c r="BI4" s="4" t="s">
        <v>15</v>
      </c>
    </row>
    <row r="5" spans="1:61" x14ac:dyDescent="0.3">
      <c r="B5" s="228" t="s">
        <v>156</v>
      </c>
      <c r="C5" s="229"/>
      <c r="D5" s="15"/>
      <c r="E5" s="13"/>
      <c r="F5" s="13"/>
      <c r="G5" s="14"/>
      <c r="H5" s="14"/>
      <c r="I5" s="14"/>
      <c r="J5" s="14"/>
      <c r="K5" s="14"/>
      <c r="L5" s="14"/>
      <c r="M5" s="13"/>
      <c r="N5" s="13"/>
      <c r="O5" s="13"/>
      <c r="P5" s="13"/>
      <c r="Q5" s="13"/>
      <c r="R5" s="13"/>
      <c r="S5" s="13"/>
      <c r="T5" s="13"/>
      <c r="U5" s="13"/>
    </row>
    <row r="6" spans="1:61" s="137" customFormat="1" ht="14.55" hidden="1" customHeight="1" x14ac:dyDescent="0.3">
      <c r="B6" s="167"/>
      <c r="C6" s="168"/>
      <c r="D6" s="169"/>
      <c r="E6" s="169"/>
      <c r="F6" s="169"/>
      <c r="G6" s="153"/>
      <c r="H6" s="153"/>
      <c r="I6" s="169"/>
      <c r="J6" s="169"/>
      <c r="K6" s="169"/>
      <c r="L6" s="169"/>
      <c r="M6" s="170"/>
      <c r="N6" s="169"/>
      <c r="O6" s="169"/>
      <c r="P6" s="169"/>
      <c r="Q6" s="169"/>
      <c r="R6" s="169"/>
      <c r="S6" s="169"/>
      <c r="T6" s="171"/>
      <c r="U6" s="172"/>
    </row>
    <row r="7" spans="1:61" s="137" customFormat="1" ht="14.55" hidden="1" customHeight="1" x14ac:dyDescent="0.3">
      <c r="B7" s="173"/>
      <c r="C7" s="174"/>
      <c r="D7" s="169"/>
      <c r="E7" s="169"/>
      <c r="F7" s="169"/>
      <c r="G7" s="169"/>
      <c r="H7" s="141"/>
      <c r="I7" s="141"/>
      <c r="J7" s="141"/>
      <c r="K7" s="141"/>
      <c r="L7" s="141"/>
      <c r="M7" s="141"/>
      <c r="N7" s="141"/>
      <c r="O7" s="141"/>
      <c r="P7" s="141"/>
      <c r="Q7" s="141"/>
      <c r="R7" s="141"/>
      <c r="S7" s="141"/>
      <c r="T7" s="171"/>
      <c r="U7" s="172"/>
    </row>
    <row r="8" spans="1:61" s="137" customFormat="1" ht="14.55" hidden="1" customHeight="1" x14ac:dyDescent="0.3">
      <c r="B8" s="173"/>
      <c r="C8" s="175"/>
      <c r="D8" s="169"/>
      <c r="E8" s="169"/>
      <c r="F8" s="152"/>
      <c r="G8" s="169"/>
      <c r="H8" s="141"/>
      <c r="I8" s="141"/>
      <c r="J8" s="141"/>
      <c r="K8" s="141"/>
      <c r="L8" s="141"/>
      <c r="M8" s="141"/>
      <c r="N8" s="141"/>
      <c r="O8" s="176"/>
      <c r="P8" s="141"/>
      <c r="Q8" s="141"/>
      <c r="R8" s="141"/>
      <c r="S8" s="132"/>
      <c r="T8" s="171"/>
      <c r="U8" s="177"/>
    </row>
    <row r="9" spans="1:61" s="137" customFormat="1" ht="14.55" hidden="1" customHeight="1" x14ac:dyDescent="0.3">
      <c r="B9" s="178"/>
      <c r="C9" s="179"/>
      <c r="D9" s="169"/>
      <c r="E9" s="169"/>
      <c r="F9" s="152"/>
      <c r="G9" s="169"/>
      <c r="H9" s="143"/>
      <c r="I9" s="143"/>
      <c r="J9" s="143"/>
      <c r="K9" s="143"/>
      <c r="L9" s="143"/>
      <c r="M9" s="143"/>
      <c r="N9" s="143"/>
      <c r="O9" s="143"/>
      <c r="P9" s="143"/>
      <c r="Q9" s="143"/>
      <c r="R9" s="143"/>
      <c r="S9" s="150"/>
      <c r="T9" s="132"/>
      <c r="U9" s="180"/>
    </row>
    <row r="10" spans="1:61" ht="17.55" customHeight="1" x14ac:dyDescent="0.3">
      <c r="B10" s="126" t="s">
        <v>15</v>
      </c>
      <c r="D10" s="17"/>
      <c r="E10" s="17"/>
      <c r="F10" s="17"/>
      <c r="G10" s="17"/>
      <c r="H10" s="18"/>
      <c r="I10" s="17"/>
      <c r="J10" s="17"/>
      <c r="K10" s="17"/>
      <c r="L10" s="17"/>
      <c r="M10" s="17"/>
      <c r="N10" s="17"/>
      <c r="O10" s="17"/>
      <c r="P10" s="17"/>
      <c r="Q10" s="17"/>
      <c r="R10" s="17"/>
      <c r="S10" s="110"/>
      <c r="T10" s="110"/>
      <c r="U10" s="160"/>
    </row>
    <row r="11" spans="1:61" ht="15.6" x14ac:dyDescent="0.3">
      <c r="A11" s="207"/>
      <c r="B11" s="205" t="s">
        <v>74</v>
      </c>
      <c r="C11" s="206"/>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207"/>
      <c r="B12" s="222" t="s">
        <v>3</v>
      </c>
      <c r="C12" s="223"/>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7"/>
      <c r="B13" s="210" t="s">
        <v>19</v>
      </c>
      <c r="C13" s="211"/>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2">
        <v>15077</v>
      </c>
      <c r="T13" s="132">
        <v>16886</v>
      </c>
      <c r="U13" s="132">
        <v>17652</v>
      </c>
      <c r="V13" s="132">
        <f>70697-U13-T13-S13</f>
        <v>21082</v>
      </c>
      <c r="W13" s="127">
        <f>SUM(S13:V13)</f>
        <v>70697</v>
      </c>
      <c r="X13" s="132">
        <v>17737</v>
      </c>
      <c r="Y13" s="132">
        <f t="shared" ref="Y13:AA13" si="0">+Y40</f>
        <v>19065.418279000001</v>
      </c>
      <c r="Z13" s="132">
        <f t="shared" si="0"/>
        <v>20591.557049999999</v>
      </c>
      <c r="AA13" s="132">
        <f t="shared" si="0"/>
        <v>24954.327352888133</v>
      </c>
      <c r="AB13" s="127">
        <f>SUM(X13:AA13)</f>
        <v>82348.302681888134</v>
      </c>
      <c r="AC13" s="132">
        <f t="shared" ref="AC13:AF13" si="1">+AC40</f>
        <v>22015.279704643384</v>
      </c>
      <c r="AD13" s="132">
        <f t="shared" si="1"/>
        <v>23600.672854660501</v>
      </c>
      <c r="AE13" s="132">
        <f t="shared" si="1"/>
        <v>25287.916546050001</v>
      </c>
      <c r="AF13" s="132">
        <f t="shared" si="1"/>
        <v>30762.41541661858</v>
      </c>
      <c r="AG13" s="127">
        <f>SUM(AC13:AF13)</f>
        <v>101666.28452197247</v>
      </c>
    </row>
    <row r="14" spans="1:61" ht="16.2" x14ac:dyDescent="0.45">
      <c r="A14" s="137"/>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4">
        <v>3307</v>
      </c>
      <c r="U14" s="134">
        <v>3155</v>
      </c>
      <c r="V14" s="134">
        <f>12770-U14-T14-S14</f>
        <v>3492</v>
      </c>
      <c r="W14" s="128">
        <f>SUM(S14:V14)</f>
        <v>12770</v>
      </c>
      <c r="X14" s="134">
        <v>3459</v>
      </c>
      <c r="Y14" s="134">
        <f>+Y13*(1-Y69)</f>
        <v>4003.7378385899997</v>
      </c>
      <c r="Z14" s="134">
        <f>+Z13*(1-Z69)</f>
        <v>4221.269195249999</v>
      </c>
      <c r="AA14" s="134">
        <f>+AA13*(1-AA69)</f>
        <v>4741.3221970487439</v>
      </c>
      <c r="AB14" s="128">
        <f>SUM(X14:AA14)</f>
        <v>16425.329230888743</v>
      </c>
      <c r="AC14" s="34">
        <f>+AC13*(1-AC69)</f>
        <v>4292.9795424054591</v>
      </c>
      <c r="AD14" s="34">
        <f>+AD13*(1-AD69)</f>
        <v>4366.1244781121941</v>
      </c>
      <c r="AE14" s="34">
        <f>+AE13*(1-AE69)</f>
        <v>4678.2645610192512</v>
      </c>
      <c r="AF14" s="34">
        <f>+AF13*(1-AF69)</f>
        <v>5691.0468520744389</v>
      </c>
      <c r="AG14" s="128">
        <f>SUM(AC14:AF14)</f>
        <v>19028.415433611346</v>
      </c>
    </row>
    <row r="15" spans="1:61" s="21" customFormat="1" x14ac:dyDescent="0.3">
      <c r="A15" s="140"/>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3">
        <f t="shared" ref="T15" si="9">+T13-T14</f>
        <v>13579</v>
      </c>
      <c r="U15" s="40">
        <f t="shared" ref="U15" si="10">+U13-U14</f>
        <v>14497</v>
      </c>
      <c r="V15" s="40">
        <f t="shared" ref="V15" si="11">+V13-V14</f>
        <v>17590</v>
      </c>
      <c r="W15" s="41">
        <f>+W13-W14</f>
        <v>57927</v>
      </c>
      <c r="X15" s="40">
        <f>+X13-X14</f>
        <v>14278</v>
      </c>
      <c r="Y15" s="40">
        <f t="shared" ref="Y15" si="12">+Y13-Y14</f>
        <v>15061.680440410002</v>
      </c>
      <c r="Z15" s="40">
        <f t="shared" ref="Z15" si="13">+Z13-Z14</f>
        <v>16370.28785475</v>
      </c>
      <c r="AA15" s="40">
        <f t="shared" ref="AA15" si="14">+AA13-AA14</f>
        <v>20213.00515583939</v>
      </c>
      <c r="AB15" s="129">
        <f>+AB13-AB14</f>
        <v>65922.973450999387</v>
      </c>
      <c r="AC15" s="40">
        <f>+AC13-AC14</f>
        <v>17722.300162237923</v>
      </c>
      <c r="AD15" s="40">
        <f t="shared" ref="AD15" si="15">+AD13-AD14</f>
        <v>19234.548376548308</v>
      </c>
      <c r="AE15" s="40">
        <f t="shared" ref="AE15" si="16">+AE13-AE14</f>
        <v>20609.651985030749</v>
      </c>
      <c r="AF15" s="40">
        <f t="shared" ref="AF15" si="17">+AF13-AF14</f>
        <v>25071.36856454414</v>
      </c>
      <c r="AG15" s="129">
        <f>+AG13-AG14</f>
        <v>82637.869088361127</v>
      </c>
    </row>
    <row r="16" spans="1:61" x14ac:dyDescent="0.3">
      <c r="A16" s="137"/>
      <c r="B16" s="31" t="s">
        <v>21</v>
      </c>
      <c r="C16" s="71"/>
      <c r="D16" s="14"/>
      <c r="E16" s="14"/>
      <c r="F16" s="14"/>
      <c r="G16" s="14"/>
      <c r="H16" s="30"/>
      <c r="I16" s="14"/>
      <c r="J16" s="14"/>
      <c r="K16" s="14"/>
      <c r="L16" s="14"/>
      <c r="M16" s="30"/>
      <c r="N16" s="14"/>
      <c r="O16" s="14"/>
      <c r="P16" s="14"/>
      <c r="Q16" s="14"/>
      <c r="R16" s="30"/>
      <c r="S16" s="14"/>
      <c r="T16" s="153"/>
      <c r="U16" s="14"/>
      <c r="V16" s="14"/>
      <c r="W16" s="30"/>
      <c r="X16" s="14"/>
      <c r="Y16" s="14"/>
      <c r="Z16" s="14"/>
      <c r="AA16" s="14"/>
      <c r="AB16" s="127"/>
      <c r="AC16" s="14"/>
      <c r="AD16" s="14"/>
      <c r="AE16" s="14"/>
      <c r="AF16" s="14"/>
      <c r="AG16" s="127"/>
    </row>
    <row r="17" spans="1:33" x14ac:dyDescent="0.3">
      <c r="A17" s="137"/>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2">
        <v>3315</v>
      </c>
      <c r="U17" s="29">
        <v>3548</v>
      </c>
      <c r="V17" s="29">
        <f>13600-U17-T17-S17</f>
        <v>3877</v>
      </c>
      <c r="W17" s="30">
        <f t="shared" ref="W17:W19" si="21">SUM(S17:V17)</f>
        <v>13600</v>
      </c>
      <c r="X17" s="29">
        <v>4015</v>
      </c>
      <c r="Y17" s="29">
        <f>+Y13*Y70</f>
        <v>4575.7003869600003</v>
      </c>
      <c r="Z17" s="29">
        <f>+Z13*Z70</f>
        <v>4839.0159067499999</v>
      </c>
      <c r="AA17" s="29">
        <f>+AA13*AA70</f>
        <v>5489.952017635389</v>
      </c>
      <c r="AB17" s="127">
        <f t="shared" ref="AB17:AB19" si="22">SUM(X17:AA17)</f>
        <v>18919.668311345391</v>
      </c>
      <c r="AC17" s="29">
        <f>+AC13*AC70</f>
        <v>5173.5907305911951</v>
      </c>
      <c r="AD17" s="29">
        <f>+AD13*AD70</f>
        <v>5192.1480280253099</v>
      </c>
      <c r="AE17" s="29">
        <f>+AE13*AE70</f>
        <v>5563.3416401310005</v>
      </c>
      <c r="AF17" s="29">
        <f>+AF13*AF70</f>
        <v>6767.7313916560879</v>
      </c>
      <c r="AG17" s="127">
        <f t="shared" ref="AG17:AG19" si="23">SUM(AC17:AF17)</f>
        <v>22696.811790403593</v>
      </c>
    </row>
    <row r="18" spans="1:33" x14ac:dyDescent="0.3">
      <c r="A18" s="137"/>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2">
        <v>2414</v>
      </c>
      <c r="U18" s="29">
        <v>2416</v>
      </c>
      <c r="V18" s="29">
        <f>9876-U18-T18-S18</f>
        <v>3026</v>
      </c>
      <c r="W18" s="30">
        <f t="shared" si="21"/>
        <v>9876</v>
      </c>
      <c r="X18" s="29">
        <v>2787</v>
      </c>
      <c r="Y18" s="29">
        <f>+Y13*Y71</f>
        <v>3241.1211074300004</v>
      </c>
      <c r="Z18" s="29">
        <f>+Z13*Z71</f>
        <v>3397.6069132500002</v>
      </c>
      <c r="AA18" s="29">
        <f>+AA13*AA71</f>
        <v>3743.1491029332196</v>
      </c>
      <c r="AB18" s="127">
        <f t="shared" si="22"/>
        <v>13168.87712361322</v>
      </c>
      <c r="AC18" s="29">
        <f>+AC13*AC71</f>
        <v>3610.5058715615151</v>
      </c>
      <c r="AD18" s="29">
        <f>+AD13*AD71</f>
        <v>3776.1076567456803</v>
      </c>
      <c r="AE18" s="29">
        <f>+AE13*AE71</f>
        <v>4046.0666473680003</v>
      </c>
      <c r="AF18" s="29">
        <f>+AF13*AF71</f>
        <v>4921.9864666589729</v>
      </c>
      <c r="AG18" s="127">
        <f t="shared" si="23"/>
        <v>16354.666642334169</v>
      </c>
    </row>
    <row r="19" spans="1:33" ht="17.25" customHeight="1" x14ac:dyDescent="0.45">
      <c r="A19" s="137"/>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4">
        <v>4064</v>
      </c>
      <c r="T19" s="134">
        <v>3224</v>
      </c>
      <c r="U19" s="34">
        <v>1348</v>
      </c>
      <c r="V19" s="34">
        <f>10465-U19-T19-S19</f>
        <v>1829</v>
      </c>
      <c r="W19" s="35">
        <f t="shared" si="21"/>
        <v>10465</v>
      </c>
      <c r="X19" s="34">
        <v>1583</v>
      </c>
      <c r="Y19" s="34">
        <f>Y13*Y72</f>
        <v>1715.88764511</v>
      </c>
      <c r="Z19" s="34">
        <f>Z13*Z72</f>
        <v>1832.6485774499999</v>
      </c>
      <c r="AA19" s="34">
        <f>AA13*AA72</f>
        <v>1971.3918608781626</v>
      </c>
      <c r="AB19" s="128">
        <f t="shared" si="22"/>
        <v>7102.9280834381625</v>
      </c>
      <c r="AC19" s="34">
        <f>AC13*AC72</f>
        <v>1981.3751734179045</v>
      </c>
      <c r="AD19" s="34">
        <f>AD13*AD72</f>
        <v>1888.0538283728401</v>
      </c>
      <c r="AE19" s="34">
        <f>AE13*AE72</f>
        <v>2023.0333236840002</v>
      </c>
      <c r="AF19" s="34">
        <f>AF13*AF72</f>
        <v>2276.4187408297748</v>
      </c>
      <c r="AG19" s="128">
        <f t="shared" si="23"/>
        <v>8168.8810663045197</v>
      </c>
    </row>
    <row r="20" spans="1:33" s="39" customFormat="1" ht="17.25" customHeight="1" x14ac:dyDescent="0.45">
      <c r="A20" s="162"/>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4">
        <f t="shared" si="24"/>
        <v>8953</v>
      </c>
      <c r="U20" s="37">
        <f t="shared" si="24"/>
        <v>7312</v>
      </c>
      <c r="V20" s="37">
        <f t="shared" si="24"/>
        <v>8732</v>
      </c>
      <c r="W20" s="38">
        <f t="shared" si="24"/>
        <v>33941</v>
      </c>
      <c r="X20" s="37">
        <f t="shared" si="24"/>
        <v>8385</v>
      </c>
      <c r="Y20" s="37">
        <f t="shared" si="24"/>
        <v>9532.7091395000007</v>
      </c>
      <c r="Z20" s="37">
        <f t="shared" si="24"/>
        <v>10069.27139745</v>
      </c>
      <c r="AA20" s="37">
        <f t="shared" si="24"/>
        <v>11204.492981446771</v>
      </c>
      <c r="AB20" s="130">
        <f t="shared" si="24"/>
        <v>39191.473518396771</v>
      </c>
      <c r="AC20" s="37">
        <f t="shared" si="24"/>
        <v>10765.471775570613</v>
      </c>
      <c r="AD20" s="37">
        <f t="shared" si="24"/>
        <v>10856.309513143829</v>
      </c>
      <c r="AE20" s="37">
        <f t="shared" si="24"/>
        <v>11632.441611183001</v>
      </c>
      <c r="AF20" s="37">
        <f t="shared" si="24"/>
        <v>13966.136599144835</v>
      </c>
      <c r="AG20" s="130">
        <f t="shared" si="24"/>
        <v>47220.359499042286</v>
      </c>
    </row>
    <row r="21" spans="1:33" x14ac:dyDescent="0.3">
      <c r="A21" s="137"/>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3">
        <f>S15-S20</f>
        <v>3317</v>
      </c>
      <c r="T21" s="133">
        <f t="shared" ref="T21" si="30">T15-T20</f>
        <v>4626</v>
      </c>
      <c r="U21" s="133">
        <f t="shared" ref="U21" si="31">U15-U20</f>
        <v>7185</v>
      </c>
      <c r="V21" s="133">
        <f>V15-V20</f>
        <v>8858</v>
      </c>
      <c r="W21" s="41">
        <f>W15-W20</f>
        <v>23986</v>
      </c>
      <c r="X21" s="40">
        <f>X15-X20</f>
        <v>5893</v>
      </c>
      <c r="Y21" s="40">
        <f t="shared" ref="Y21" si="32">Y15-Y20</f>
        <v>5528.9713009100014</v>
      </c>
      <c r="Z21" s="40">
        <f t="shared" ref="Z21" si="33">Z15-Z20</f>
        <v>6301.0164573000002</v>
      </c>
      <c r="AA21" s="40">
        <f>AA15-AA20</f>
        <v>9008.5121743926193</v>
      </c>
      <c r="AB21" s="129">
        <f>AB15-AB20</f>
        <v>26731.499932602615</v>
      </c>
      <c r="AC21" s="40">
        <f>AC15-AC20</f>
        <v>6956.82838666731</v>
      </c>
      <c r="AD21" s="40">
        <f t="shared" ref="AD21" si="34">AD15-AD20</f>
        <v>8378.2388634044783</v>
      </c>
      <c r="AE21" s="40">
        <f t="shared" ref="AE21" si="35">AE15-AE20</f>
        <v>8977.2103738477472</v>
      </c>
      <c r="AF21" s="40">
        <f>AF15-AF20</f>
        <v>11105.231965399305</v>
      </c>
      <c r="AG21" s="129">
        <f>AG15-AG20</f>
        <v>35417.509589318841</v>
      </c>
    </row>
    <row r="22" spans="1:33" ht="16.2" x14ac:dyDescent="0.45">
      <c r="A22" s="137"/>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4">
        <v>165</v>
      </c>
      <c r="T22" s="134">
        <v>206</v>
      </c>
      <c r="U22" s="134">
        <v>144</v>
      </c>
      <c r="V22" s="134">
        <f>826-U22-T22-S22</f>
        <v>311</v>
      </c>
      <c r="W22" s="35">
        <f t="shared" ref="W22" si="39">SUM(S22:V22)</f>
        <v>826</v>
      </c>
      <c r="X22" s="134">
        <v>-32</v>
      </c>
      <c r="Y22" s="57">
        <f>AVERAGE(X22,V22,U22,T22)</f>
        <v>157.25</v>
      </c>
      <c r="Z22" s="57">
        <f>AVERAGE(Y22,X22,V22,U22)</f>
        <v>145.0625</v>
      </c>
      <c r="AA22" s="57">
        <f>AVERAGE(Z22,Y22,X22,V22)</f>
        <v>145.328125</v>
      </c>
      <c r="AB22" s="128">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8">
        <f t="shared" ref="AG22" si="41">SUM(AC22:AF22)</f>
        <v>504.88824462890625</v>
      </c>
    </row>
    <row r="23" spans="1:33" x14ac:dyDescent="0.3">
      <c r="A23" s="137"/>
      <c r="B23" s="216" t="s">
        <v>23</v>
      </c>
      <c r="C23" s="217"/>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3">
        <f t="shared" si="42"/>
        <v>3482</v>
      </c>
      <c r="T23" s="133">
        <f t="shared" si="42"/>
        <v>4832</v>
      </c>
      <c r="U23" s="40">
        <f t="shared" si="42"/>
        <v>7329</v>
      </c>
      <c r="V23" s="40">
        <f>V21+V22</f>
        <v>9169</v>
      </c>
      <c r="W23" s="41">
        <f t="shared" si="42"/>
        <v>24812</v>
      </c>
      <c r="X23" s="133">
        <f t="shared" si="42"/>
        <v>5861</v>
      </c>
      <c r="Y23" s="40">
        <f t="shared" si="42"/>
        <v>5686.2213009100014</v>
      </c>
      <c r="Z23" s="40">
        <f t="shared" si="42"/>
        <v>6446.0789573000002</v>
      </c>
      <c r="AA23" s="40">
        <f t="shared" si="42"/>
        <v>9153.8402993926193</v>
      </c>
      <c r="AB23" s="129">
        <f t="shared" si="42"/>
        <v>27147.140557602615</v>
      </c>
      <c r="AC23" s="40">
        <f t="shared" si="42"/>
        <v>7060.73854291731</v>
      </c>
      <c r="AD23" s="40">
        <f t="shared" si="42"/>
        <v>8516.1265587169783</v>
      </c>
      <c r="AE23" s="40">
        <f t="shared" si="42"/>
        <v>9110.2574929883722</v>
      </c>
      <c r="AF23" s="40">
        <f t="shared" si="42"/>
        <v>11235.275239325087</v>
      </c>
      <c r="AG23" s="129">
        <f t="shared" si="42"/>
        <v>35922.397833947747</v>
      </c>
    </row>
    <row r="24" spans="1:33" ht="16.2" x14ac:dyDescent="0.45">
      <c r="A24" s="137"/>
      <c r="B24" s="210" t="s">
        <v>7</v>
      </c>
      <c r="C24" s="211"/>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4">
        <v>-1053</v>
      </c>
      <c r="T24" s="134">
        <v>-2216</v>
      </c>
      <c r="U24" s="34">
        <v>-1238</v>
      </c>
      <c r="V24" s="34">
        <f>-6327-U24-T24-S24</f>
        <v>-1820</v>
      </c>
      <c r="W24" s="35">
        <f>SUM(S24:V24)</f>
        <v>-6327</v>
      </c>
      <c r="X24" s="134">
        <v>-959</v>
      </c>
      <c r="Y24" s="34">
        <f>+Y23*-Y76</f>
        <v>-1023.5198341638002</v>
      </c>
      <c r="Z24" s="34">
        <f>+Z23*-Z76</f>
        <v>-1160.2942123139999</v>
      </c>
      <c r="AA24" s="34">
        <f>+AA23*-AA76</f>
        <v>-1647.6912538906713</v>
      </c>
      <c r="AB24" s="128">
        <f>SUM(X24:AA24)</f>
        <v>-4790.5053003684716</v>
      </c>
      <c r="AC24" s="34">
        <f>+AC23*-AC76</f>
        <v>-1242.0261946203041</v>
      </c>
      <c r="AD24" s="34">
        <f>+AD23*-AD76</f>
        <v>-1545.2027727747711</v>
      </c>
      <c r="AE24" s="34">
        <f>+AE23*-AE76</f>
        <v>-1656.2939812653256</v>
      </c>
      <c r="AF24" s="34">
        <f>+AF23*-AF76</f>
        <v>-2047.7047098538576</v>
      </c>
      <c r="AG24" s="128">
        <f>SUM(AC24:AF24)</f>
        <v>-6491.227658514259</v>
      </c>
    </row>
    <row r="25" spans="1:33" x14ac:dyDescent="0.3">
      <c r="A25" s="144"/>
      <c r="B25" s="216" t="s">
        <v>8</v>
      </c>
      <c r="C25" s="217"/>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3">
        <f t="shared" si="43"/>
        <v>2429</v>
      </c>
      <c r="T25" s="133">
        <f t="shared" si="43"/>
        <v>2616</v>
      </c>
      <c r="U25" s="40">
        <f t="shared" si="43"/>
        <v>6091</v>
      </c>
      <c r="V25" s="40">
        <f t="shared" si="43"/>
        <v>7349</v>
      </c>
      <c r="W25" s="41">
        <f t="shared" si="43"/>
        <v>18485</v>
      </c>
      <c r="X25" s="133">
        <f t="shared" si="43"/>
        <v>4902</v>
      </c>
      <c r="Y25" s="40">
        <f t="shared" si="43"/>
        <v>4662.7014667462008</v>
      </c>
      <c r="Z25" s="40">
        <f t="shared" si="43"/>
        <v>5285.7847449860001</v>
      </c>
      <c r="AA25" s="40">
        <f t="shared" si="43"/>
        <v>7506.1490455019484</v>
      </c>
      <c r="AB25" s="129">
        <f t="shared" si="43"/>
        <v>22356.635257234142</v>
      </c>
      <c r="AC25" s="40">
        <f t="shared" si="43"/>
        <v>5818.7123482970055</v>
      </c>
      <c r="AD25" s="40">
        <f t="shared" si="43"/>
        <v>6970.9237859422074</v>
      </c>
      <c r="AE25" s="40">
        <f t="shared" si="43"/>
        <v>7453.9635117230464</v>
      </c>
      <c r="AF25" s="40">
        <f t="shared" si="43"/>
        <v>9187.5705294712297</v>
      </c>
      <c r="AG25" s="129">
        <f t="shared" si="43"/>
        <v>29431.170175433486</v>
      </c>
    </row>
    <row r="26" spans="1:33" ht="16.2" x14ac:dyDescent="0.45">
      <c r="A26" s="144"/>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4">
        <v>0</v>
      </c>
      <c r="T26" s="134">
        <v>0</v>
      </c>
      <c r="U26" s="134">
        <v>0</v>
      </c>
      <c r="V26" s="134">
        <f>0-U26-T26-S26</f>
        <v>0</v>
      </c>
      <c r="W26" s="35">
        <f>SUM(S26:V26)</f>
        <v>0</v>
      </c>
      <c r="X26" s="134">
        <v>0</v>
      </c>
      <c r="Y26" s="134">
        <v>0</v>
      </c>
      <c r="Z26" s="134">
        <v>0</v>
      </c>
      <c r="AA26" s="134">
        <v>0</v>
      </c>
      <c r="AB26" s="128">
        <f>SUM(X26:AA26)</f>
        <v>0</v>
      </c>
      <c r="AC26" s="134">
        <v>0</v>
      </c>
      <c r="AD26" s="134">
        <v>0</v>
      </c>
      <c r="AE26" s="134">
        <v>0</v>
      </c>
      <c r="AF26" s="134">
        <v>0</v>
      </c>
      <c r="AG26" s="128">
        <f>SUM(AC26:AF26)</f>
        <v>0</v>
      </c>
    </row>
    <row r="27" spans="1:33" s="21" customFormat="1" x14ac:dyDescent="0.3">
      <c r="A27" s="162"/>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3">
        <f t="shared" ref="S27" si="51">+S25-S26</f>
        <v>2429</v>
      </c>
      <c r="T27" s="133">
        <f t="shared" ref="T27" si="52">+T25-T26</f>
        <v>2616</v>
      </c>
      <c r="U27" s="40">
        <f t="shared" ref="U27" si="53">+U25-U26</f>
        <v>6091</v>
      </c>
      <c r="V27" s="40">
        <f t="shared" ref="V27" si="54">+V25-V26</f>
        <v>7349</v>
      </c>
      <c r="W27" s="41">
        <f t="shared" ref="W27" si="55">+W25-W26</f>
        <v>18485</v>
      </c>
      <c r="X27" s="40">
        <f t="shared" ref="X27" si="56">+X25-X26</f>
        <v>4902</v>
      </c>
      <c r="Y27" s="40">
        <f t="shared" ref="Y27" si="57">+Y25-Y26</f>
        <v>4662.7014667462008</v>
      </c>
      <c r="Z27" s="40">
        <f t="shared" ref="Z27" si="58">+Z25-Z26</f>
        <v>5285.7847449860001</v>
      </c>
      <c r="AA27" s="40">
        <f t="shared" ref="AA27" si="59">+AA25-AA26</f>
        <v>7506.1490455019484</v>
      </c>
      <c r="AB27" s="129">
        <f t="shared" ref="AB27" si="60">+AB25-AB26</f>
        <v>22356.635257234142</v>
      </c>
      <c r="AC27" s="40">
        <f t="shared" ref="AC27" si="61">+AC25-AC26</f>
        <v>5818.7123482970055</v>
      </c>
      <c r="AD27" s="40">
        <f t="shared" ref="AD27" si="62">+AD25-AD26</f>
        <v>6970.9237859422074</v>
      </c>
      <c r="AE27" s="40">
        <f t="shared" ref="AE27" si="63">+AE25-AE26</f>
        <v>7453.9635117230464</v>
      </c>
      <c r="AF27" s="40">
        <f t="shared" ref="AF27" si="64">+AF25-AF26</f>
        <v>9187.5705294712297</v>
      </c>
      <c r="AG27" s="129">
        <f t="shared" ref="AG27" si="65">+AG25-AG26</f>
        <v>29431.170175433486</v>
      </c>
    </row>
    <row r="28" spans="1:33" x14ac:dyDescent="0.3">
      <c r="A28" s="137"/>
      <c r="B28" s="210" t="s">
        <v>0</v>
      </c>
      <c r="C28" s="211"/>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2">
        <v>2856</v>
      </c>
      <c r="T28" s="132">
        <v>2855</v>
      </c>
      <c r="U28" s="29">
        <v>2854</v>
      </c>
      <c r="V28" s="29">
        <v>2854</v>
      </c>
      <c r="W28" s="30">
        <f>(S28*S25/W25)+(T28*T25/W25)+(U28*U25/W25)+(V28*V25/W25)</f>
        <v>2854.4043278333784</v>
      </c>
      <c r="X28" s="29">
        <v>2851</v>
      </c>
      <c r="Y28" s="29">
        <f>X28*(1+Y78)-Y82</f>
        <v>2848.5530865586052</v>
      </c>
      <c r="Z28" s="29">
        <f>Y28*(1+Z78)-Z82</f>
        <v>2848.0519923143497</v>
      </c>
      <c r="AA28" s="29">
        <f>Z28*(1+AA78)-AA82</f>
        <v>2847.386691392453</v>
      </c>
      <c r="AB28" s="127">
        <f>(X28*X25/AB25)+(Y28*Y25/AB25)+(Z28*Z25/AB25)+(AA28*AA25/AB25)</f>
        <v>2848.5795197587609</v>
      </c>
      <c r="AC28" s="29">
        <f>AA28*(1+AC78)-AC82</f>
        <v>2846.2624742761068</v>
      </c>
      <c r="AD28" s="29">
        <f>AC28*(1+AD78)-AD82</f>
        <v>2845.3529971843723</v>
      </c>
      <c r="AE28" s="29">
        <f>AD28*(1+AE78)-AE82</f>
        <v>2844.5491616611857</v>
      </c>
      <c r="AF28" s="29">
        <f>AE28*(1+AF78)-AF82</f>
        <v>2843.6696814175652</v>
      </c>
      <c r="AG28" s="127">
        <f>(AC28*AC25/AG25)+(AD28*AD25/AG25)+(AE28*AE25/AG25)+(AF28*AF25/AG25)</f>
        <v>2844.8037374264482</v>
      </c>
    </row>
    <row r="29" spans="1:33" ht="15.75" customHeight="1" x14ac:dyDescent="0.3">
      <c r="A29" s="137"/>
      <c r="B29" s="210" t="s">
        <v>1</v>
      </c>
      <c r="C29" s="211"/>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2">
        <v>2869</v>
      </c>
      <c r="T29" s="132">
        <v>2875</v>
      </c>
      <c r="U29" s="29">
        <v>2874</v>
      </c>
      <c r="V29" s="29">
        <v>2880</v>
      </c>
      <c r="W29" s="30">
        <f>(S29*S25/W25)+(T29*T25/W25)+(U29*U25/W25)+(V29*V25/W25)</f>
        <v>2875.8698945090614</v>
      </c>
      <c r="X29" s="29">
        <v>2868</v>
      </c>
      <c r="Y29" s="29">
        <f>X29*(1+Y79)-Y82</f>
        <v>2866.5549091535918</v>
      </c>
      <c r="Z29" s="29">
        <f>Y29*(1+Z79)-Z82</f>
        <v>2865.556928311843</v>
      </c>
      <c r="AA29" s="29">
        <f>Z29*(1+AA79)-AA82</f>
        <v>2864.2707300403808</v>
      </c>
      <c r="AB29" s="127">
        <f>(X29*X25/AB25)+(Y29*Y25/AB25)+(Z29*Z25/AB25)+(AA29*AA25/AB25)</f>
        <v>2865.8689085424126</v>
      </c>
      <c r="AC29" s="29">
        <f>AA29*(1+AC79)-AC82</f>
        <v>2860.8762617946345</v>
      </c>
      <c r="AD29" s="29">
        <f>AC29*(1+AD79)-AD82</f>
        <v>2859.3660962688082</v>
      </c>
      <c r="AE29" s="29">
        <f>AD29*(1+AE79)-AE82</f>
        <v>2857.5621149390822</v>
      </c>
      <c r="AF29" s="29">
        <f>AE29*(1+AF79)-AF82</f>
        <v>2855.5571208506894</v>
      </c>
      <c r="AG29" s="127">
        <f>(AC29*AC25/AG25)+(AD29*AD25/AG25)+(AE29*AE25/AG25)+(AF29*AF25/AG25)</f>
        <v>2858.0187212824549</v>
      </c>
    </row>
    <row r="30" spans="1:33" ht="15.75" customHeight="1" x14ac:dyDescent="0.3">
      <c r="A30" s="137"/>
      <c r="B30" s="220" t="s">
        <v>9</v>
      </c>
      <c r="C30" s="221"/>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5">
        <f t="shared" si="66"/>
        <v>0.85049019607843135</v>
      </c>
      <c r="T30" s="135">
        <f t="shared" si="66"/>
        <v>0.91628721541155866</v>
      </c>
      <c r="U30" s="43">
        <f t="shared" si="66"/>
        <v>2.1341976173791171</v>
      </c>
      <c r="V30" s="43">
        <f t="shared" si="66"/>
        <v>2.5749824807288015</v>
      </c>
      <c r="W30" s="44">
        <f t="shared" si="66"/>
        <v>6.4759571094228789</v>
      </c>
      <c r="X30" s="43">
        <f t="shared" si="66"/>
        <v>1.7193967029112591</v>
      </c>
      <c r="Y30" s="43">
        <f t="shared" si="66"/>
        <v>1.6368666214254428</v>
      </c>
      <c r="Z30" s="43">
        <f t="shared" si="66"/>
        <v>1.855929863376802</v>
      </c>
      <c r="AA30" s="43">
        <f t="shared" si="66"/>
        <v>2.6361537293802648</v>
      </c>
      <c r="AB30" s="131">
        <f t="shared" si="66"/>
        <v>7.8483451496300409</v>
      </c>
      <c r="AC30" s="43">
        <f t="shared" si="66"/>
        <v>2.0443344213280561</v>
      </c>
      <c r="AD30" s="43">
        <f t="shared" si="66"/>
        <v>2.4499328529150182</v>
      </c>
      <c r="AE30" s="43">
        <f t="shared" si="66"/>
        <v>2.6204375766070478</v>
      </c>
      <c r="AF30" s="43">
        <f t="shared" si="66"/>
        <v>3.2308852851331307</v>
      </c>
      <c r="AG30" s="131">
        <f t="shared" si="66"/>
        <v>10.345588972706565</v>
      </c>
    </row>
    <row r="31" spans="1:33" x14ac:dyDescent="0.3">
      <c r="A31" s="137"/>
      <c r="B31" s="218" t="s">
        <v>10</v>
      </c>
      <c r="C31" s="219"/>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6">
        <f t="shared" si="67"/>
        <v>0.84663645869640991</v>
      </c>
      <c r="T31" s="136">
        <f t="shared" si="67"/>
        <v>0.90991304347826085</v>
      </c>
      <c r="U31" s="136">
        <f t="shared" si="67"/>
        <v>2.1193458594293668</v>
      </c>
      <c r="V31" s="136">
        <f t="shared" si="67"/>
        <v>2.551736111111111</v>
      </c>
      <c r="W31" s="157">
        <f t="shared" si="67"/>
        <v>6.4276203994115555</v>
      </c>
      <c r="X31" s="136">
        <f t="shared" si="67"/>
        <v>1.7092050209205021</v>
      </c>
      <c r="Y31" s="136">
        <f t="shared" si="67"/>
        <v>1.6265871802619534</v>
      </c>
      <c r="Z31" s="136">
        <f t="shared" si="67"/>
        <v>1.8445924744199591</v>
      </c>
      <c r="AA31" s="136">
        <f t="shared" si="67"/>
        <v>2.6206143737663115</v>
      </c>
      <c r="AB31" s="157">
        <f t="shared" si="67"/>
        <v>7.8009971742234283</v>
      </c>
      <c r="AC31" s="136">
        <f t="shared" si="67"/>
        <v>2.0338916527088498</v>
      </c>
      <c r="AD31" s="136">
        <f t="shared" si="67"/>
        <v>2.4379262924878971</v>
      </c>
      <c r="AE31" s="136">
        <f t="shared" si="67"/>
        <v>2.6085044565626005</v>
      </c>
      <c r="AF31" s="136">
        <f t="shared" si="67"/>
        <v>3.2174353867360885</v>
      </c>
      <c r="AG31" s="157">
        <f t="shared" si="67"/>
        <v>10.297752760075372</v>
      </c>
    </row>
    <row r="32" spans="1:33" x14ac:dyDescent="0.3">
      <c r="B32" s="46"/>
      <c r="C32" s="126" t="s">
        <v>15</v>
      </c>
      <c r="D32" s="50"/>
      <c r="E32" s="50"/>
      <c r="F32" s="50"/>
      <c r="G32" s="50"/>
      <c r="H32" s="16"/>
      <c r="I32" s="50"/>
      <c r="J32" s="50"/>
      <c r="K32" s="50"/>
      <c r="L32" s="50"/>
      <c r="M32" s="16"/>
      <c r="N32" s="50"/>
      <c r="O32" s="50"/>
      <c r="P32" s="50"/>
      <c r="Q32" s="50"/>
      <c r="R32" s="16"/>
      <c r="S32" s="83"/>
      <c r="T32" s="155"/>
      <c r="U32" s="149"/>
      <c r="V32" s="149"/>
      <c r="W32" s="149"/>
      <c r="X32" s="149"/>
      <c r="Y32" s="149"/>
      <c r="Z32" s="50"/>
      <c r="AA32" s="149"/>
      <c r="AB32" s="16"/>
      <c r="AC32" s="50"/>
      <c r="AD32" s="50"/>
      <c r="AE32" s="50"/>
      <c r="AF32" s="149"/>
      <c r="AG32" s="16"/>
    </row>
    <row r="33" spans="1:33" ht="15.6" x14ac:dyDescent="0.3">
      <c r="A33" s="137"/>
      <c r="B33" s="205" t="s">
        <v>25</v>
      </c>
      <c r="C33" s="206"/>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7"/>
      <c r="B34" s="222"/>
      <c r="C34" s="223"/>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7"/>
      <c r="B35" s="205" t="s">
        <v>146</v>
      </c>
      <c r="C35" s="206"/>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7"/>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8851.4502300000004</v>
      </c>
      <c r="Z36" s="64">
        <f>+((Z42+Y42)/2)*Z52</f>
        <v>9527.010479999999</v>
      </c>
      <c r="AA36" s="64">
        <f>+((AA42+Z42)/2)*AA52</f>
        <v>11668.344159999999</v>
      </c>
      <c r="AB36" s="19"/>
      <c r="AC36" s="64">
        <f>+((AC42+AA42)/2)*AC52</f>
        <v>10600.872312</v>
      </c>
      <c r="AD36" s="64">
        <f>+((AD42+AC42)/2)*AD52</f>
        <v>10798.7692806</v>
      </c>
      <c r="AE36" s="64">
        <f>+((AE42+AD42)/2)*AE52</f>
        <v>11241.872366399999</v>
      </c>
      <c r="AF36" s="64">
        <f>+((AF42+AE42)/2)*AF52</f>
        <v>13552.40457956</v>
      </c>
      <c r="AG36" s="19"/>
    </row>
    <row r="37" spans="1:33" outlineLevel="1" x14ac:dyDescent="0.3">
      <c r="A37" s="137"/>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4790.9785000000002</v>
      </c>
      <c r="Z37" s="64">
        <f t="shared" ref="Z37:AA37" si="68">+((Z44+Y44)/2)*Z54</f>
        <v>5001.5374499999998</v>
      </c>
      <c r="AA37" s="64">
        <f t="shared" si="68"/>
        <v>6329.9717630000005</v>
      </c>
      <c r="AB37" s="19"/>
      <c r="AC37" s="64">
        <f>+((AC44+AA44)/2)*AC54</f>
        <v>5208.5779200000006</v>
      </c>
      <c r="AD37" s="64">
        <f>+((AD44+AC44)/2)*AD54</f>
        <v>5806.6659419999996</v>
      </c>
      <c r="AE37" s="64">
        <f t="shared" ref="AE37:AF37" si="69">+((AE44+AD44)/2)*AE54</f>
        <v>6019.7236631699998</v>
      </c>
      <c r="AF37" s="64">
        <f t="shared" si="69"/>
        <v>7693.4476807502006</v>
      </c>
      <c r="AG37" s="19"/>
    </row>
    <row r="38" spans="1:33" outlineLevel="1" x14ac:dyDescent="0.3">
      <c r="A38" s="137"/>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3537.3105600000004</v>
      </c>
      <c r="Z38" s="64">
        <f t="shared" ref="Z38:AA38" si="70">+((Z46+Y46)/2)*Z56</f>
        <v>4023.6134400000005</v>
      </c>
      <c r="AA38" s="64">
        <f t="shared" si="70"/>
        <v>4634.3095344000003</v>
      </c>
      <c r="AB38" s="19"/>
      <c r="AC38" s="64">
        <f>+((AC46+AA46)/2)*AC56</f>
        <v>4236.7457664000012</v>
      </c>
      <c r="AD38" s="64">
        <f>+((AD46+AC46)/2)*AD56</f>
        <v>4674.9096360960011</v>
      </c>
      <c r="AE38" s="64">
        <f t="shared" ref="AE38:AF38" si="71">+((AE46+AD46)/2)*AE56</f>
        <v>5407.7364633600018</v>
      </c>
      <c r="AF38" s="64">
        <f t="shared" si="71"/>
        <v>6436.129081374721</v>
      </c>
      <c r="AG38" s="19"/>
    </row>
    <row r="39" spans="1:33" ht="16.2" outlineLevel="1" x14ac:dyDescent="0.45">
      <c r="A39" s="137"/>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1885.6789889999998</v>
      </c>
      <c r="Z39" s="99">
        <f t="shared" ref="Z39:AA39" si="72">+((Z48+Y48)/2)*Z58</f>
        <v>2039.3956800000005</v>
      </c>
      <c r="AA39" s="99">
        <f t="shared" si="72"/>
        <v>2321.7018954881364</v>
      </c>
      <c r="AB39" s="19"/>
      <c r="AC39" s="99">
        <f>+((AC48+AA48)/2)*AC58</f>
        <v>1969.0837062433852</v>
      </c>
      <c r="AD39" s="99">
        <f>+((AD48+AC48)/2)*AD58</f>
        <v>2320.3279959644997</v>
      </c>
      <c r="AE39" s="99">
        <f t="shared" ref="AE39:AF39" si="73">+((AE48+AD48)/2)*AE58</f>
        <v>2618.584053120001</v>
      </c>
      <c r="AF39" s="99">
        <f t="shared" si="73"/>
        <v>3080.4340749336598</v>
      </c>
      <c r="AG39" s="19"/>
    </row>
    <row r="40" spans="1:33" s="92" customFormat="1" outlineLevel="1" x14ac:dyDescent="0.3">
      <c r="A40" s="138"/>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19065.418279000001</v>
      </c>
      <c r="Z40" s="100">
        <f t="shared" ref="Z40:AA40" si="81">SUM(Z36:Z39)</f>
        <v>20591.557049999999</v>
      </c>
      <c r="AA40" s="100">
        <f t="shared" si="81"/>
        <v>24954.327352888133</v>
      </c>
      <c r="AB40" s="91"/>
      <c r="AC40" s="100">
        <f>SUM(AC36:AC39)</f>
        <v>22015.279704643384</v>
      </c>
      <c r="AD40" s="100">
        <f>SUM(AD36:AD39)</f>
        <v>23600.672854660501</v>
      </c>
      <c r="AE40" s="100">
        <f t="shared" ref="AE40:AF40" si="82">SUM(AE36:AE39)</f>
        <v>25287.916546050001</v>
      </c>
      <c r="AF40" s="100">
        <f t="shared" si="82"/>
        <v>30762.41541661858</v>
      </c>
      <c r="AG40" s="91"/>
    </row>
    <row r="41" spans="1:33" ht="17.399999999999999" x14ac:dyDescent="0.45">
      <c r="A41" s="137"/>
      <c r="B41" s="208" t="s">
        <v>86</v>
      </c>
      <c r="C41" s="20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7"/>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253.76000000000002</v>
      </c>
      <c r="Z42" s="29">
        <f t="shared" ref="Z42" si="84">U42*(1+Z43)</f>
        <v>256.88</v>
      </c>
      <c r="AA42" s="29">
        <f t="shared" ref="AA42" si="85">V42*(1+AA43)</f>
        <v>255.44</v>
      </c>
      <c r="AB42" s="19"/>
      <c r="AC42" s="29">
        <f>X42*(1+AC43)</f>
        <v>253</v>
      </c>
      <c r="AD42" s="29">
        <f t="shared" ref="AD42" si="86">Y42*(1+AD43)</f>
        <v>253.76000000000002</v>
      </c>
      <c r="AE42" s="29">
        <f t="shared" ref="AE42" si="87">Z42*(1+AE43)</f>
        <v>256.88</v>
      </c>
      <c r="AF42" s="29">
        <f t="shared" ref="AF42" si="88">AA42*(1+AF43)</f>
        <v>260.54880000000003</v>
      </c>
      <c r="AG42" s="19"/>
    </row>
    <row r="43" spans="1:33" ht="15.6" outlineLevel="1" x14ac:dyDescent="0.3">
      <c r="A43" s="137"/>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39">
        <f>+S42/N42-1</f>
        <v>8.2987551867219622E-3</v>
      </c>
      <c r="T43" s="55">
        <f>+T42/O42-1</f>
        <v>1.2448132780082943E-2</v>
      </c>
      <c r="U43" s="55">
        <f>+U42/P42-1</f>
        <v>2.0661157024793431E-2</v>
      </c>
      <c r="V43" s="55">
        <f>+V42/Q42-1</f>
        <v>2.4793388429751984E-2</v>
      </c>
      <c r="W43" s="19"/>
      <c r="X43" s="139">
        <f>+X42/S42-1</f>
        <v>4.1152263374485631E-2</v>
      </c>
      <c r="Y43" s="59">
        <v>0.04</v>
      </c>
      <c r="Z43" s="59">
        <v>0.04</v>
      </c>
      <c r="AA43" s="59">
        <v>0.03</v>
      </c>
      <c r="AB43" s="19"/>
      <c r="AC43" s="59">
        <v>0</v>
      </c>
      <c r="AD43" s="59">
        <v>0</v>
      </c>
      <c r="AE43" s="59">
        <v>0</v>
      </c>
      <c r="AF43" s="59">
        <v>0.02</v>
      </c>
      <c r="AG43" s="19"/>
    </row>
    <row r="44" spans="1:33" outlineLevel="1" x14ac:dyDescent="0.3">
      <c r="A44" s="137"/>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2">
        <v>384</v>
      </c>
      <c r="T44" s="29">
        <v>385</v>
      </c>
      <c r="U44" s="29">
        <v>387</v>
      </c>
      <c r="V44" s="29">
        <v>394</v>
      </c>
      <c r="W44" s="19"/>
      <c r="X44" s="29">
        <v>406</v>
      </c>
      <c r="Y44" s="29">
        <f t="shared" ref="Y44" si="89">T44*(1+Y45)</f>
        <v>408.1</v>
      </c>
      <c r="Z44" s="29">
        <f t="shared" ref="Z44" si="90">U44*(1+Z45)</f>
        <v>406.35</v>
      </c>
      <c r="AA44" s="29">
        <f t="shared" ref="AA44" si="91">V44*(1+AA45)</f>
        <v>405.82</v>
      </c>
      <c r="AB44" s="19"/>
      <c r="AC44" s="29">
        <f>X44*(1+AC45)</f>
        <v>410.06</v>
      </c>
      <c r="AD44" s="29">
        <f t="shared" ref="AD44" si="92">Y44*(1+AD45)</f>
        <v>412.18100000000004</v>
      </c>
      <c r="AE44" s="29">
        <f t="shared" ref="AE44" si="93">Z44*(1+AE45)</f>
        <v>418.54050000000001</v>
      </c>
      <c r="AF44" s="29">
        <f t="shared" ref="AF44" si="94">AA44*(1+AF45)</f>
        <v>417.99459999999999</v>
      </c>
      <c r="AG44" s="19"/>
    </row>
    <row r="45" spans="1:33" outlineLevel="1" x14ac:dyDescent="0.3">
      <c r="A45" s="137"/>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39">
        <f>+S44/N44-1</f>
        <v>1.8567639257294433E-2</v>
      </c>
      <c r="T45" s="55">
        <f>+T44/O44-1</f>
        <v>2.3936170212766061E-2</v>
      </c>
      <c r="U45" s="55">
        <f>+U44/P44-1</f>
        <v>3.2000000000000028E-2</v>
      </c>
      <c r="V45" s="55">
        <f>+V44/Q44-1</f>
        <v>3.4120734908136496E-2</v>
      </c>
      <c r="W45" s="19"/>
      <c r="X45" s="139">
        <f>+X44/S44-1</f>
        <v>5.7291666666666741E-2</v>
      </c>
      <c r="Y45" s="59">
        <v>0.06</v>
      </c>
      <c r="Z45" s="59">
        <v>0.05</v>
      </c>
      <c r="AA45" s="59">
        <v>0.03</v>
      </c>
      <c r="AB45" s="19"/>
      <c r="AC45" s="59">
        <v>0.01</v>
      </c>
      <c r="AD45" s="59">
        <v>0.01</v>
      </c>
      <c r="AE45" s="59">
        <v>0.03</v>
      </c>
      <c r="AF45" s="59">
        <v>0.03</v>
      </c>
      <c r="AG45" s="19"/>
    </row>
    <row r="46" spans="1:33" outlineLevel="1" x14ac:dyDescent="0.3">
      <c r="A46" s="137"/>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2">
        <v>981</v>
      </c>
      <c r="T46" s="29">
        <v>1003</v>
      </c>
      <c r="U46" s="29">
        <v>1013</v>
      </c>
      <c r="V46" s="29">
        <v>1038.4000000000001</v>
      </c>
      <c r="W46" s="24"/>
      <c r="X46" s="29">
        <v>1093</v>
      </c>
      <c r="Y46" s="29">
        <f t="shared" ref="Y46" si="95">T46*(1+Y47)</f>
        <v>1123.3600000000001</v>
      </c>
      <c r="Z46" s="29">
        <f t="shared" ref="Z46" si="96">U46*(1+Z47)</f>
        <v>1134.5600000000002</v>
      </c>
      <c r="AA46" s="29">
        <f t="shared" ref="AA46" si="97">V46*(1+AA47)</f>
        <v>1163.0080000000003</v>
      </c>
      <c r="AB46" s="22"/>
      <c r="AC46" s="29">
        <f>X46*(1+AC47)</f>
        <v>1224.1600000000001</v>
      </c>
      <c r="AD46" s="29">
        <f t="shared" ref="AD46" si="98">Y46*(1+AD47)</f>
        <v>1258.1632000000002</v>
      </c>
      <c r="AE46" s="29">
        <f t="shared" ref="AE46" si="99">Z46*(1+AE47)</f>
        <v>1270.7072000000003</v>
      </c>
      <c r="AF46" s="29">
        <f t="shared" ref="AF46" si="100">AA46*(1+AF47)</f>
        <v>1302.5689600000005</v>
      </c>
      <c r="AG46" s="22"/>
    </row>
    <row r="47" spans="1:33" outlineLevel="1" x14ac:dyDescent="0.3">
      <c r="A47" s="137"/>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39">
        <f>+S46/N46-1</f>
        <v>0.12371134020618557</v>
      </c>
      <c r="T47" s="55">
        <f>+T46/O46-1</f>
        <v>0.12192393736017904</v>
      </c>
      <c r="U47" s="55">
        <f>+U46/P46-1</f>
        <v>0.10468920392584513</v>
      </c>
      <c r="V47" s="55">
        <f>+V46/Q46-1</f>
        <v>9.6515311510031676E-2</v>
      </c>
      <c r="W47" s="24"/>
      <c r="X47" s="139">
        <f>+X46/S46-1</f>
        <v>0.11416921508664624</v>
      </c>
      <c r="Y47" s="59">
        <v>0.12</v>
      </c>
      <c r="Z47" s="59">
        <v>0.12</v>
      </c>
      <c r="AA47" s="59">
        <v>0.12</v>
      </c>
      <c r="AB47" s="19"/>
      <c r="AC47" s="59">
        <v>0.12</v>
      </c>
      <c r="AD47" s="59">
        <v>0.12</v>
      </c>
      <c r="AE47" s="59">
        <v>0.12</v>
      </c>
      <c r="AF47" s="59">
        <v>0.12</v>
      </c>
      <c r="AG47" s="19"/>
    </row>
    <row r="48" spans="1:33" outlineLevel="1" x14ac:dyDescent="0.3">
      <c r="A48" s="137"/>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2">
        <v>768</v>
      </c>
      <c r="T48" s="29">
        <v>782</v>
      </c>
      <c r="U48" s="29">
        <v>802</v>
      </c>
      <c r="V48" s="29">
        <v>817.4</v>
      </c>
      <c r="W48" s="19"/>
      <c r="X48" s="29">
        <v>851</v>
      </c>
      <c r="Y48" s="29">
        <f t="shared" ref="Y48" si="101">T48*(1+Y49)</f>
        <v>868.0200000000001</v>
      </c>
      <c r="Z48" s="29">
        <f t="shared" ref="Z48" si="102">U48*(1+Z49)</f>
        <v>866.16000000000008</v>
      </c>
      <c r="AA48" s="29">
        <f t="shared" ref="AA48" si="103">V48*(1+AA49)</f>
        <v>888.50145385416658</v>
      </c>
      <c r="AB48" s="19"/>
      <c r="AC48" s="29">
        <f>X48*(1+AC49)</f>
        <v>910.57</v>
      </c>
      <c r="AD48" s="29">
        <f t="shared" ref="AD48" si="104">Y48*(1+AD49)</f>
        <v>928.78140000000019</v>
      </c>
      <c r="AE48" s="29">
        <f t="shared" ref="AE48" si="105">Z48*(1+AE49)</f>
        <v>926.79120000000012</v>
      </c>
      <c r="AF48" s="29">
        <f t="shared" ref="AF48" si="106">AA48*(1+AF49)</f>
        <v>950.69655562395826</v>
      </c>
      <c r="AG48" s="19"/>
    </row>
    <row r="49" spans="1:33" outlineLevel="1" x14ac:dyDescent="0.3">
      <c r="A49" s="137"/>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39">
        <f>+S48/N48-1</f>
        <v>8.9361702127659592E-2</v>
      </c>
      <c r="T49" s="55">
        <f>+T48/O48-1</f>
        <v>8.1604426002766184E-2</v>
      </c>
      <c r="U49" s="55">
        <f>+U48/P48-1</f>
        <v>8.9673913043478271E-2</v>
      </c>
      <c r="V49" s="55">
        <f>+V48/Q48-1</f>
        <v>8.9866666666666539E-2</v>
      </c>
      <c r="W49" s="19"/>
      <c r="X49" s="139">
        <f>+X48/S48-1</f>
        <v>0.10807291666666674</v>
      </c>
      <c r="Y49" s="59">
        <v>0.11</v>
      </c>
      <c r="Z49" s="59">
        <v>0.08</v>
      </c>
      <c r="AA49" s="59">
        <f>AVERAGE(V49,X49,Y49,Z49)-1%</f>
        <v>8.6984895833333326E-2</v>
      </c>
      <c r="AB49" s="19"/>
      <c r="AC49" s="59">
        <v>7.0000000000000007E-2</v>
      </c>
      <c r="AD49" s="59">
        <v>7.0000000000000007E-2</v>
      </c>
      <c r="AE49" s="59">
        <v>7.0000000000000007E-2</v>
      </c>
      <c r="AF49" s="59">
        <v>7.0000000000000007E-2</v>
      </c>
      <c r="AG49" s="19"/>
    </row>
    <row r="50" spans="1:33" s="21" customFormat="1" outlineLevel="1" x14ac:dyDescent="0.3">
      <c r="A50" s="140"/>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2653.2400000000002</v>
      </c>
      <c r="Z50" s="40">
        <f t="shared" si="111"/>
        <v>2663.9500000000003</v>
      </c>
      <c r="AA50" s="40">
        <f t="shared" si="111"/>
        <v>2712.7694538541668</v>
      </c>
      <c r="AB50" s="95"/>
      <c r="AC50" s="40">
        <f>+AC42+AC44+AC46+AC48</f>
        <v>2797.79</v>
      </c>
      <c r="AD50" s="40">
        <f t="shared" ref="AD50:AF50" si="112">+AD42+AD44+AD46+AD48</f>
        <v>2852.8856000000005</v>
      </c>
      <c r="AE50" s="40">
        <f t="shared" si="112"/>
        <v>2872.9189000000006</v>
      </c>
      <c r="AF50" s="40">
        <f t="shared" si="112"/>
        <v>2931.8089156239589</v>
      </c>
      <c r="AG50" s="95"/>
    </row>
    <row r="51" spans="1:33" ht="17.399999999999999" x14ac:dyDescent="0.45">
      <c r="A51" s="137"/>
      <c r="B51" s="205" t="s">
        <v>87</v>
      </c>
      <c r="C51" s="206"/>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7"/>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34.933500000000002</v>
      </c>
      <c r="Z52" s="45">
        <f t="shared" ref="Z52" si="114">U52*(1+Z53)</f>
        <v>37.314</v>
      </c>
      <c r="AA52" s="45">
        <f t="shared" ref="AA52" si="115">V52*(1+AA53)</f>
        <v>45.551000000000002</v>
      </c>
      <c r="AB52" s="19"/>
      <c r="AC52" s="45">
        <f>X52*(1+AC53)</f>
        <v>41.699599999999997</v>
      </c>
      <c r="AD52" s="45">
        <f t="shared" ref="AD52" si="116">Y52*(1+AD53)</f>
        <v>42.618870000000001</v>
      </c>
      <c r="AE52" s="45">
        <f t="shared" ref="AE52" si="117">Z52*(1+AE53)</f>
        <v>44.030519999999996</v>
      </c>
      <c r="AF52" s="45">
        <f t="shared" ref="AF52" si="118">AA52*(1+AF53)</f>
        <v>52.383649999999996</v>
      </c>
      <c r="AG52" s="19"/>
    </row>
    <row r="53" spans="1:33" ht="15.6" outlineLevel="1" x14ac:dyDescent="0.3">
      <c r="A53" s="137"/>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39">
        <f>+S52/N52-1</f>
        <v>0.27681220856295052</v>
      </c>
      <c r="T53" s="55">
        <f t="shared" ref="T53:V53" si="123">+T52/O52-1</f>
        <v>0.28406020841374002</v>
      </c>
      <c r="U53" s="55">
        <f t="shared" si="123"/>
        <v>0.25135820354943861</v>
      </c>
      <c r="V53" s="55">
        <f t="shared" si="123"/>
        <v>0.18789443488238655</v>
      </c>
      <c r="W53" s="19"/>
      <c r="X53" s="139">
        <f>+X52/S52-1</f>
        <v>0.13479415670650718</v>
      </c>
      <c r="Y53" s="59">
        <v>0.05</v>
      </c>
      <c r="Z53" s="59">
        <v>0.08</v>
      </c>
      <c r="AA53" s="59">
        <v>0.1</v>
      </c>
      <c r="AB53" s="19"/>
      <c r="AC53" s="59">
        <v>0.22</v>
      </c>
      <c r="AD53" s="59">
        <v>0.22</v>
      </c>
      <c r="AE53" s="59">
        <v>0.18</v>
      </c>
      <c r="AF53" s="59">
        <v>0.15</v>
      </c>
      <c r="AG53" s="19"/>
    </row>
    <row r="54" spans="1:33" outlineLevel="1" x14ac:dyDescent="0.3">
      <c r="A54" s="137"/>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1">
        <v>9.5500000000000007</v>
      </c>
      <c r="T54" s="45">
        <v>10.7</v>
      </c>
      <c r="U54" s="45">
        <v>10.68</v>
      </c>
      <c r="V54" s="45">
        <v>13.21</v>
      </c>
      <c r="W54" s="19"/>
      <c r="X54" s="45">
        <v>10.64</v>
      </c>
      <c r="Y54" s="45">
        <f t="shared" ref="Y54" si="124">T54*(1+Y55)</f>
        <v>11.77</v>
      </c>
      <c r="Z54" s="45">
        <f t="shared" ref="Z54" si="125">U54*(1+Z55)</f>
        <v>12.281999999999998</v>
      </c>
      <c r="AA54" s="45">
        <f t="shared" ref="AA54" si="126">V54*(1+AA55)</f>
        <v>15.5878</v>
      </c>
      <c r="AB54" s="19"/>
      <c r="AC54" s="45">
        <f>X54*(1+AC55)</f>
        <v>12.768000000000001</v>
      </c>
      <c r="AD54" s="45">
        <f t="shared" ref="AD54" si="127">Y54*(1+AD55)</f>
        <v>14.123999999999999</v>
      </c>
      <c r="AE54" s="45">
        <f t="shared" ref="AE54" si="128">Z54*(1+AE55)</f>
        <v>14.492759999999997</v>
      </c>
      <c r="AF54" s="45">
        <f t="shared" ref="AF54" si="129">AA54*(1+AF55)</f>
        <v>18.393604</v>
      </c>
      <c r="AG54" s="19"/>
    </row>
    <row r="55" spans="1:33" outlineLevel="1" x14ac:dyDescent="0.3">
      <c r="A55" s="137"/>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39">
        <f>+S54/N54-1</f>
        <v>0.17610837438423665</v>
      </c>
      <c r="T55" s="55">
        <f t="shared" ref="T55:V55" si="136">+T54/O54-1</f>
        <v>0.22146118721461172</v>
      </c>
      <c r="U55" s="55">
        <f t="shared" si="136"/>
        <v>0.21088435374149661</v>
      </c>
      <c r="V55" s="55">
        <f t="shared" si="136"/>
        <v>0.2030965391621129</v>
      </c>
      <c r="W55" s="19"/>
      <c r="X55" s="139">
        <f>+X54/S54-1</f>
        <v>0.11413612565445019</v>
      </c>
      <c r="Y55" s="59">
        <v>0.1</v>
      </c>
      <c r="Z55" s="59">
        <v>0.15</v>
      </c>
      <c r="AA55" s="59">
        <v>0.18</v>
      </c>
      <c r="AB55" s="19"/>
      <c r="AC55" s="59">
        <v>0.2</v>
      </c>
      <c r="AD55" s="59">
        <v>0.2</v>
      </c>
      <c r="AE55" s="59">
        <v>0.18</v>
      </c>
      <c r="AF55" s="59">
        <v>0.18</v>
      </c>
      <c r="AG55" s="19"/>
    </row>
    <row r="56" spans="1:33" outlineLevel="1" x14ac:dyDescent="0.3">
      <c r="A56" s="137"/>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1">
        <v>2.78</v>
      </c>
      <c r="T56" s="45">
        <v>3.04</v>
      </c>
      <c r="U56" s="45">
        <v>3.24</v>
      </c>
      <c r="V56" s="45">
        <v>3.57</v>
      </c>
      <c r="W56" s="19"/>
      <c r="X56" s="45">
        <v>3.06</v>
      </c>
      <c r="Y56" s="45">
        <f t="shared" ref="Y56" si="137">T56*(1+Y57)</f>
        <v>3.1920000000000002</v>
      </c>
      <c r="Z56" s="45">
        <f t="shared" ref="Z56" si="138">U56*(1+Z57)</f>
        <v>3.5640000000000005</v>
      </c>
      <c r="AA56" s="45">
        <f t="shared" ref="AA56" si="139">V56*(1+AA57)</f>
        <v>4.0340999999999996</v>
      </c>
      <c r="AB56" s="19"/>
      <c r="AC56" s="45">
        <f>X56*(1+AC57)</f>
        <v>3.5495999999999999</v>
      </c>
      <c r="AD56" s="45">
        <f t="shared" ref="AD56" si="140">Y56*(1+AD57)</f>
        <v>3.7665600000000001</v>
      </c>
      <c r="AE56" s="45">
        <f t="shared" ref="AE56" si="141">Z56*(1+AE57)</f>
        <v>4.2768000000000006</v>
      </c>
      <c r="AF56" s="45">
        <f t="shared" ref="AF56" si="142">AA56*(1+AF57)</f>
        <v>5.0022839999999995</v>
      </c>
      <c r="AG56" s="19"/>
    </row>
    <row r="57" spans="1:33" outlineLevel="1" x14ac:dyDescent="0.3">
      <c r="A57" s="137"/>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39">
        <f>+S56/N56-1</f>
        <v>0.13008130081300817</v>
      </c>
      <c r="T57" s="55">
        <f t="shared" ref="T57:V57" si="149">+T56/O56-1</f>
        <v>0.16030534351145032</v>
      </c>
      <c r="U57" s="55">
        <f t="shared" si="149"/>
        <v>0.21348314606741581</v>
      </c>
      <c r="V57" s="55">
        <f t="shared" si="149"/>
        <v>0.20608108108108114</v>
      </c>
      <c r="W57" s="22"/>
      <c r="X57" s="139">
        <f>+X56/S56-1</f>
        <v>0.10071942446043169</v>
      </c>
      <c r="Y57" s="59">
        <v>0.05</v>
      </c>
      <c r="Z57" s="59">
        <v>0.1</v>
      </c>
      <c r="AA57" s="59">
        <v>0.13</v>
      </c>
      <c r="AB57" s="19"/>
      <c r="AC57" s="59">
        <v>0.16</v>
      </c>
      <c r="AD57" s="59">
        <v>0.18</v>
      </c>
      <c r="AE57" s="59">
        <v>0.2</v>
      </c>
      <c r="AF57" s="59">
        <v>0.24</v>
      </c>
      <c r="AG57" s="19"/>
    </row>
    <row r="58" spans="1:33" outlineLevel="1" x14ac:dyDescent="0.3">
      <c r="A58" s="137"/>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1">
        <v>1.89</v>
      </c>
      <c r="T58" s="45">
        <v>2.13</v>
      </c>
      <c r="U58" s="45">
        <v>2.2400000000000002</v>
      </c>
      <c r="V58" s="45">
        <v>2.48</v>
      </c>
      <c r="W58" s="19"/>
      <c r="X58" s="45">
        <v>1.99</v>
      </c>
      <c r="Y58" s="45">
        <f t="shared" ref="Y58" si="150">T58*(1+Y59)</f>
        <v>2.1938999999999997</v>
      </c>
      <c r="Z58" s="45">
        <f t="shared" ref="Z58" si="151">U58*(1+Z59)</f>
        <v>2.3520000000000003</v>
      </c>
      <c r="AA58" s="45">
        <f t="shared" ref="AA58" si="152">V58*(1+AA59)</f>
        <v>2.6463246119511528</v>
      </c>
      <c r="AB58" s="19"/>
      <c r="AC58" s="45">
        <f>X58*(1+AC59)</f>
        <v>2.1890000000000001</v>
      </c>
      <c r="AD58" s="45">
        <f t="shared" ref="AD58" si="153">Y58*(1+AD59)</f>
        <v>2.5229849999999994</v>
      </c>
      <c r="AE58" s="45">
        <f t="shared" ref="AE58" si="154">Z58*(1+AE59)</f>
        <v>2.8224000000000005</v>
      </c>
      <c r="AF58" s="45">
        <f t="shared" ref="AF58" si="155">AA58*(1+AF59)</f>
        <v>3.2814425188194294</v>
      </c>
      <c r="AG58" s="19"/>
    </row>
    <row r="59" spans="1:33" ht="16.2" outlineLevel="1" x14ac:dyDescent="0.45">
      <c r="A59" s="137"/>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39">
        <f>+S58/N58-1</f>
        <v>0.125</v>
      </c>
      <c r="T59" s="55">
        <f t="shared" ref="T59:V59" si="162">+T58/O58-1</f>
        <v>0.11518324607329844</v>
      </c>
      <c r="U59" s="55">
        <f t="shared" si="162"/>
        <v>0.23076923076923084</v>
      </c>
      <c r="V59" s="55">
        <f t="shared" si="162"/>
        <v>0.17535545023696697</v>
      </c>
      <c r="W59" s="98"/>
      <c r="X59" s="139">
        <f>+X58/S58-1</f>
        <v>5.2910052910053018E-2</v>
      </c>
      <c r="Y59" s="59">
        <v>0.03</v>
      </c>
      <c r="Z59" s="59">
        <v>0.05</v>
      </c>
      <c r="AA59" s="59">
        <f>AVERAGE(V59,X59,Y59,Z59)-1%</f>
        <v>6.7066375786755006E-2</v>
      </c>
      <c r="AB59" s="19"/>
      <c r="AC59" s="59">
        <v>0.1</v>
      </c>
      <c r="AD59" s="59">
        <v>0.15</v>
      </c>
      <c r="AE59" s="59">
        <v>0.2</v>
      </c>
      <c r="AF59" s="59">
        <v>0.24</v>
      </c>
      <c r="AG59" s="19"/>
    </row>
    <row r="60" spans="1:33" outlineLevel="1" x14ac:dyDescent="0.3">
      <c r="A60" s="137"/>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5">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7.2543941216535019</v>
      </c>
      <c r="Z60" s="43">
        <f t="shared" ref="Z60:AA60" si="167">+Z40/((Y50+Z50)/2)</f>
        <v>7.7452778817382857</v>
      </c>
      <c r="AA60" s="43">
        <f t="shared" si="167"/>
        <v>9.2823616954759451</v>
      </c>
      <c r="AB60" s="19"/>
      <c r="AC60" s="43">
        <f>+AC40/((AA50+AC50)/2)</f>
        <v>7.9902158352526529</v>
      </c>
      <c r="AD60" s="43">
        <f>+AD40/((AC50+AD50)/2)</f>
        <v>8.3532216412000366</v>
      </c>
      <c r="AE60" s="43">
        <f t="shared" ref="AE60:AF60" si="168">+AE40/((AD50+AE50)/2)</f>
        <v>8.8329654098563779</v>
      </c>
      <c r="AF60" s="43">
        <f t="shared" si="168"/>
        <v>10.599089705401417</v>
      </c>
      <c r="AG60" s="19"/>
    </row>
    <row r="61" spans="1:33" ht="17.399999999999999" x14ac:dyDescent="0.45">
      <c r="A61" s="137"/>
      <c r="B61" s="205" t="s">
        <v>26</v>
      </c>
      <c r="C61" s="206"/>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42"/>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7"/>
      <c r="B63" s="205" t="s">
        <v>16</v>
      </c>
      <c r="C63" s="206"/>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4"/>
      <c r="B64" s="210" t="s">
        <v>101</v>
      </c>
      <c r="C64" s="211"/>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0.12906658054009257</v>
      </c>
      <c r="Z64" s="55">
        <f t="shared" si="175"/>
        <v>0.16652827158395644</v>
      </c>
      <c r="AA64" s="55">
        <f t="shared" si="175"/>
        <v>0.18367931661550774</v>
      </c>
      <c r="AB64" s="53">
        <f t="shared" si="175"/>
        <v>0.16480618246726353</v>
      </c>
      <c r="AC64" s="55">
        <f t="shared" si="175"/>
        <v>0.24120650079739447</v>
      </c>
      <c r="AD64" s="55">
        <f t="shared" si="175"/>
        <v>0.23787857729069328</v>
      </c>
      <c r="AE64" s="55">
        <f t="shared" si="175"/>
        <v>0.22807209210291357</v>
      </c>
      <c r="AF64" s="55">
        <f t="shared" si="175"/>
        <v>0.23274873257836926</v>
      </c>
      <c r="AG64" s="53">
        <f t="shared" si="175"/>
        <v>0.23458870688215372</v>
      </c>
    </row>
    <row r="65" spans="1:33" s="42" customFormat="1" outlineLevel="1" x14ac:dyDescent="0.3">
      <c r="A65" s="144"/>
      <c r="B65" s="210" t="s">
        <v>102</v>
      </c>
      <c r="C65" s="211"/>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7.4895319332468846E-2</v>
      </c>
      <c r="Z65" s="55">
        <f t="shared" si="179"/>
        <v>8.0047484333506391E-2</v>
      </c>
      <c r="AA65" s="55">
        <f t="shared" si="179"/>
        <v>0.21187180222916324</v>
      </c>
      <c r="AB65" s="53"/>
      <c r="AC65" s="55">
        <f>+AC13/AA13-1</f>
        <v>-0.11777707355853018</v>
      </c>
      <c r="AD65" s="55">
        <f t="shared" ref="AD65:AF65" si="180">+AD13/AC13-1</f>
        <v>7.2013309450832619E-2</v>
      </c>
      <c r="AE65" s="55">
        <f t="shared" si="180"/>
        <v>7.1491338479204192E-2</v>
      </c>
      <c r="AF65" s="55">
        <f t="shared" si="180"/>
        <v>0.21648675012824259</v>
      </c>
      <c r="AG65" s="53"/>
    </row>
    <row r="66" spans="1:33" s="42" customFormat="1" outlineLevel="1" x14ac:dyDescent="0.3">
      <c r="A66" s="144"/>
      <c r="B66" s="70" t="s">
        <v>105</v>
      </c>
      <c r="C66" s="71"/>
      <c r="D66" s="55"/>
      <c r="E66" s="55"/>
      <c r="F66" s="55"/>
      <c r="G66" s="55"/>
      <c r="H66" s="53"/>
      <c r="I66" s="55"/>
      <c r="J66" s="55"/>
      <c r="K66" s="55"/>
      <c r="L66" s="55"/>
      <c r="M66" s="53"/>
      <c r="N66" s="111">
        <f>+N84+N13</f>
        <v>11430</v>
      </c>
      <c r="O66" s="111">
        <f>+O84+O13</f>
        <v>12858</v>
      </c>
      <c r="P66" s="111">
        <f>+P84+P13</f>
        <v>13886</v>
      </c>
      <c r="Q66" s="111">
        <f>+Q84+Q13</f>
        <v>17262</v>
      </c>
      <c r="R66" s="54"/>
      <c r="S66" s="29">
        <f>+S84+S13</f>
        <v>15580</v>
      </c>
      <c r="T66" s="29">
        <f>+T84+T13</f>
        <v>17460</v>
      </c>
      <c r="U66" s="29">
        <f>+U84+U13</f>
        <v>17949</v>
      </c>
      <c r="V66" s="29">
        <f>+V84+V13</f>
        <v>21377</v>
      </c>
      <c r="W66" s="30">
        <f>SUM(S66:V66)</f>
        <v>72366</v>
      </c>
      <c r="X66" s="29">
        <f>+X84+X13</f>
        <v>18012</v>
      </c>
      <c r="Y66" s="29">
        <f>+Y84+Y13</f>
        <v>19340.418279000001</v>
      </c>
      <c r="Z66" s="29">
        <f>+Z84+Z13</f>
        <v>20741.557049999999</v>
      </c>
      <c r="AA66" s="29">
        <f>+AA84+AA13</f>
        <v>25054.327352888133</v>
      </c>
      <c r="AB66" s="30">
        <f>SUM(X66:AA66)</f>
        <v>83148.302681888134</v>
      </c>
      <c r="AC66" s="29">
        <f>+AC84+AC13</f>
        <v>22065.279704643384</v>
      </c>
      <c r="AD66" s="29">
        <f>+AD84+AD13</f>
        <v>23650.672854660501</v>
      </c>
      <c r="AE66" s="29">
        <f>+AE84+AE13</f>
        <v>25337.916546050001</v>
      </c>
      <c r="AF66" s="29">
        <f>+AF84+AF13</f>
        <v>30812.41541661858</v>
      </c>
      <c r="AG66" s="30">
        <f>SUM(AC66:AF66)</f>
        <v>101866.28452197247</v>
      </c>
    </row>
    <row r="67" spans="1:33" s="42" customFormat="1" outlineLevel="1" x14ac:dyDescent="0.3">
      <c r="A67" s="144"/>
      <c r="B67" s="210" t="s">
        <v>103</v>
      </c>
      <c r="C67" s="211"/>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6">
        <f>+W66/R13-1</f>
        <v>0.29599914037035702</v>
      </c>
      <c r="X67" s="55">
        <f>+X66/S13-1</f>
        <v>0.19466737414605029</v>
      </c>
      <c r="Y67" s="55">
        <f t="shared" ref="Y67" si="182">+Y66/T13-1</f>
        <v>0.14535226098543186</v>
      </c>
      <c r="Z67" s="55">
        <f t="shared" ref="Z67" si="183">+Z66/U13-1</f>
        <v>0.17502589225016996</v>
      </c>
      <c r="AA67" s="55">
        <f t="shared" ref="AA67" si="184">+AA66/V13-1</f>
        <v>0.18842269959624947</v>
      </c>
      <c r="AB67" s="146">
        <f>+AB66/W13-1</f>
        <v>0.17612207988865336</v>
      </c>
      <c r="AC67" s="55">
        <f>+AC66/X13-1</f>
        <v>0.24402546680066428</v>
      </c>
      <c r="AD67" s="55">
        <f t="shared" ref="AD67" si="185">+AD66/Y13-1</f>
        <v>0.24050112662416767</v>
      </c>
      <c r="AE67" s="55">
        <f t="shared" ref="AE67" si="186">+AE66/Z13-1</f>
        <v>0.23050027176308174</v>
      </c>
      <c r="AF67" s="55">
        <f t="shared" ref="AF67" si="187">+AF66/AA13-1</f>
        <v>0.23475239307752571</v>
      </c>
      <c r="AG67" s="146">
        <f>+AG66/AB13-1</f>
        <v>0.23701741510668883</v>
      </c>
    </row>
    <row r="68" spans="1:33" s="42" customFormat="1" outlineLevel="1" x14ac:dyDescent="0.3">
      <c r="A68" s="144"/>
      <c r="B68" s="210" t="s">
        <v>104</v>
      </c>
      <c r="C68" s="211"/>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6"/>
      <c r="X68" s="55"/>
      <c r="Y68" s="55"/>
      <c r="Z68" s="55"/>
      <c r="AA68" s="55"/>
      <c r="AB68" s="53"/>
      <c r="AC68" s="55"/>
      <c r="AD68" s="55"/>
      <c r="AE68" s="55"/>
      <c r="AF68" s="55"/>
      <c r="AG68" s="53"/>
    </row>
    <row r="69" spans="1:33" s="42" customFormat="1" outlineLevel="1" x14ac:dyDescent="0.3">
      <c r="A69" s="144"/>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3">
        <f>+S15/S13</f>
        <v>0.81322544272733299</v>
      </c>
      <c r="T69" s="55">
        <f t="shared" ref="T69:U69" si="190">+T15/T13</f>
        <v>0.80415729006277392</v>
      </c>
      <c r="U69" s="55">
        <f t="shared" si="190"/>
        <v>0.82126671198731027</v>
      </c>
      <c r="V69" s="55">
        <f t="shared" ref="V69" si="191">+V15/V13</f>
        <v>0.83436106631249407</v>
      </c>
      <c r="W69" s="146">
        <f>+W15/W13</f>
        <v>0.81936998741106415</v>
      </c>
      <c r="X69" s="143">
        <f>+X15/X13</f>
        <v>0.80498393189378137</v>
      </c>
      <c r="Y69" s="60">
        <v>0.79</v>
      </c>
      <c r="Z69" s="60">
        <v>0.79500000000000004</v>
      </c>
      <c r="AA69" s="60">
        <v>0.81</v>
      </c>
      <c r="AB69" s="54">
        <f>+AB15/AB13</f>
        <v>0.80053833903122606</v>
      </c>
      <c r="AC69" s="60">
        <v>0.80500000000000005</v>
      </c>
      <c r="AD69" s="60">
        <v>0.81499999999999995</v>
      </c>
      <c r="AE69" s="60">
        <v>0.81499999999999995</v>
      </c>
      <c r="AF69" s="60">
        <v>0.81499999999999995</v>
      </c>
      <c r="AG69" s="54">
        <f>+AG15/AG13</f>
        <v>0.81283455451252518</v>
      </c>
    </row>
    <row r="70" spans="1:33" s="42" customFormat="1" outlineLevel="1" x14ac:dyDescent="0.3">
      <c r="A70" s="144"/>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6"/>
      <c r="X70" s="55">
        <f t="shared" ref="X70" si="195">+X17/X13</f>
        <v>0.22636297006258105</v>
      </c>
      <c r="Y70" s="60">
        <v>0.24</v>
      </c>
      <c r="Z70" s="60">
        <v>0.23499999999999999</v>
      </c>
      <c r="AA70" s="60">
        <v>0.22</v>
      </c>
      <c r="AB70" s="54"/>
      <c r="AC70" s="60">
        <v>0.23499999999999999</v>
      </c>
      <c r="AD70" s="60">
        <v>0.22</v>
      </c>
      <c r="AE70" s="60">
        <f t="shared" ref="AE70:AF70" si="196">AD70</f>
        <v>0.22</v>
      </c>
      <c r="AF70" s="60">
        <f t="shared" si="196"/>
        <v>0.22</v>
      </c>
      <c r="AG70" s="54"/>
    </row>
    <row r="71" spans="1:33" s="42" customFormat="1" outlineLevel="1" x14ac:dyDescent="0.3">
      <c r="A71" s="144"/>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6"/>
      <c r="X71" s="55">
        <f t="shared" ref="X71" si="200">+X18/X13</f>
        <v>0.15712916502226984</v>
      </c>
      <c r="Y71" s="60">
        <v>0.17</v>
      </c>
      <c r="Z71" s="60">
        <v>0.16500000000000001</v>
      </c>
      <c r="AA71" s="60">
        <v>0.15</v>
      </c>
      <c r="AB71" s="164"/>
      <c r="AC71" s="60">
        <v>0.16400000000000001</v>
      </c>
      <c r="AD71" s="60">
        <v>0.16</v>
      </c>
      <c r="AE71" s="60">
        <f t="shared" ref="AE71" si="201">AD71</f>
        <v>0.16</v>
      </c>
      <c r="AF71" s="60">
        <v>0.16</v>
      </c>
      <c r="AG71" s="54"/>
    </row>
    <row r="72" spans="1:33" s="42" customFormat="1" outlineLevel="1" x14ac:dyDescent="0.3">
      <c r="A72" s="144"/>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6"/>
      <c r="X72" s="55">
        <f t="shared" ref="X72" si="205">+X19/X13</f>
        <v>8.9248463663528219E-2</v>
      </c>
      <c r="Y72" s="60">
        <v>0.09</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44"/>
      <c r="B73" s="158" t="s">
        <v>11</v>
      </c>
      <c r="C73" s="159"/>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55616.802749285518</v>
      </c>
      <c r="AC73" s="51"/>
      <c r="AD73" s="51"/>
      <c r="AE73" s="51"/>
      <c r="AF73" s="51"/>
      <c r="AG73" s="30">
        <f>AG14+AG17+AG18+AG19</f>
        <v>66248.774932653629</v>
      </c>
    </row>
    <row r="74" spans="1:33" s="42" customFormat="1" outlineLevel="1" x14ac:dyDescent="0.3">
      <c r="A74" s="144"/>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3">
        <f>+(W14+W17+W18+W19)/(R14+R17+R18+R19)-1</f>
        <v>0.51046079223928853</v>
      </c>
      <c r="X74" s="55">
        <f>+(X14+X17+X18+X19)/(V14+V17+V18+V19)-1</f>
        <v>-3.1086387434554941E-2</v>
      </c>
      <c r="Y74" s="55">
        <f>+(Y14+Y17+Y18+Y19)/(W14+W17+W18+W19)-1</f>
        <v>-0.7102085808890839</v>
      </c>
      <c r="Z74" s="55">
        <f>+(Z14+Z17+Z18+Z19)/(X14+X17+X18+X19)-1</f>
        <v>0.2065637109675782</v>
      </c>
      <c r="AA74" s="55">
        <f>+(AA14+AA17+AA18+AA19)/(Y14+Y17+Y18+Y19)-1</f>
        <v>0.17799118219908805</v>
      </c>
      <c r="AB74" s="53">
        <f>+(AB14+AB17+AB18+AB19)/(W14+W17+W18+W19)-1</f>
        <v>0.19065750571140661</v>
      </c>
      <c r="AC74" s="55">
        <f>+(AC14+AC17+AC18+AC19)/(AA14+AA17+AA18+AA19)-1</f>
        <v>-5.5648698457018253E-2</v>
      </c>
      <c r="AD74" s="55">
        <f>+(AD14+AD17+AD18+AD19)/(AB14+AB17+AB18+AB19)-1</f>
        <v>-0.72629793086314054</v>
      </c>
      <c r="AE74" s="55">
        <f>+(AE14+AE17+AE18+AE19)/(AC14+AC17+AC18+AC19)-1</f>
        <v>8.3159604383173935E-2</v>
      </c>
      <c r="AF74" s="55">
        <f>+(AF14+AF17+AF18+AF19)/(AD14+AD17+AD18+AD19)-1</f>
        <v>0.29132985319631732</v>
      </c>
      <c r="AG74" s="53">
        <f>+(AG14+AG17+AG18+AG19)/(AB14+AB17+AB18+AB19)-1</f>
        <v>0.19116474982022758</v>
      </c>
    </row>
    <row r="75" spans="1:33" s="42" customFormat="1" outlineLevel="1" x14ac:dyDescent="0.3">
      <c r="A75" s="144"/>
      <c r="B75" s="210" t="s">
        <v>4</v>
      </c>
      <c r="C75" s="211"/>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6">
        <f t="shared" si="207"/>
        <v>0.33927889443682191</v>
      </c>
      <c r="X75" s="51">
        <f t="shared" si="207"/>
        <v>0.33224333314540228</v>
      </c>
      <c r="Y75" s="51">
        <f t="shared" si="207"/>
        <v>0.29000000000000004</v>
      </c>
      <c r="Z75" s="51">
        <f t="shared" si="207"/>
        <v>0.30599999999999999</v>
      </c>
      <c r="AA75" s="51">
        <f t="shared" si="207"/>
        <v>0.36100000000000015</v>
      </c>
      <c r="AB75" s="54">
        <f t="shared" si="207"/>
        <v>0.32461506870234497</v>
      </c>
      <c r="AC75" s="51">
        <f t="shared" si="207"/>
        <v>0.316</v>
      </c>
      <c r="AD75" s="51">
        <f t="shared" si="207"/>
        <v>0.35500000000000004</v>
      </c>
      <c r="AE75" s="51">
        <f t="shared" si="207"/>
        <v>0.35499999999999987</v>
      </c>
      <c r="AF75" s="51">
        <f t="shared" si="207"/>
        <v>0.36099999999999993</v>
      </c>
      <c r="AG75" s="54">
        <f t="shared" si="207"/>
        <v>0.34837025623439877</v>
      </c>
    </row>
    <row r="76" spans="1:33" s="42" customFormat="1" outlineLevel="1" x14ac:dyDescent="0.3">
      <c r="A76" s="144"/>
      <c r="B76" s="210" t="s">
        <v>2</v>
      </c>
      <c r="C76" s="211"/>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3">
        <f t="shared" si="208"/>
        <v>0.30241240666283747</v>
      </c>
      <c r="T76" s="51">
        <f t="shared" si="208"/>
        <v>0.45860927152317882</v>
      </c>
      <c r="U76" s="51">
        <f t="shared" si="208"/>
        <v>0.16891799699822621</v>
      </c>
      <c r="V76" s="51">
        <f t="shared" si="208"/>
        <v>0.19849492856363835</v>
      </c>
      <c r="W76" s="146">
        <f t="shared" si="208"/>
        <v>0.25499758181525067</v>
      </c>
      <c r="X76" s="143">
        <f t="shared" si="208"/>
        <v>0.16362395495649207</v>
      </c>
      <c r="Y76" s="59">
        <v>0.18</v>
      </c>
      <c r="Z76" s="59">
        <v>0.18</v>
      </c>
      <c r="AA76" s="59">
        <v>0.18</v>
      </c>
      <c r="AB76" s="165">
        <f>-AB24/AB23</f>
        <v>0.17646445268162433</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0.18070140218701808</v>
      </c>
    </row>
    <row r="77" spans="1:33" ht="17.399999999999999" x14ac:dyDescent="0.45">
      <c r="A77" s="137"/>
      <c r="B77" s="205" t="s">
        <v>18</v>
      </c>
      <c r="C77" s="206"/>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7"/>
      <c r="B78" s="210" t="s">
        <v>12</v>
      </c>
      <c r="C78" s="211"/>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7"/>
      <c r="B79" s="210" t="s">
        <v>13</v>
      </c>
      <c r="C79" s="211"/>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7"/>
      <c r="B80" s="210" t="s">
        <v>5</v>
      </c>
      <c r="C80" s="211"/>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5">
        <v>166.34</v>
      </c>
      <c r="T80" s="145">
        <f>((2159*180.22)+(2200*186.29)+(1800*181.21))/6159</f>
        <v>182.67754180873519</v>
      </c>
      <c r="U80" s="145">
        <f>((1980*199.28)+(1980*184.89)+(2100*185.71))/6060</f>
        <v>189.87584158415842</v>
      </c>
      <c r="V80" s="145">
        <f>((2415*184.42)+(2100*195.74)+(2205*202.02))/6720</f>
        <v>193.73250000000002</v>
      </c>
      <c r="W80" s="62"/>
      <c r="X80" s="145">
        <f>((2205*216.5)+(1995*207.57)+(2100*166.71))/6300</f>
        <v>197.07549999999998</v>
      </c>
      <c r="Y80" s="63">
        <v>200</v>
      </c>
      <c r="Z80" s="63">
        <v>235</v>
      </c>
      <c r="AA80" s="63">
        <v>235</v>
      </c>
      <c r="AB80" s="62"/>
      <c r="AC80" s="63">
        <f>AA80</f>
        <v>235</v>
      </c>
      <c r="AD80" s="63">
        <f>AC80</f>
        <v>235</v>
      </c>
      <c r="AE80" s="63">
        <f>AD80</f>
        <v>235</v>
      </c>
      <c r="AF80" s="63">
        <f>AE80</f>
        <v>235</v>
      </c>
      <c r="AG80" s="62"/>
    </row>
    <row r="81" spans="1:33" outlineLevel="1" x14ac:dyDescent="0.3">
      <c r="A81" s="137"/>
      <c r="B81" s="210" t="s">
        <v>6</v>
      </c>
      <c r="C81" s="211"/>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2">
        <v>521.80858000000001</v>
      </c>
      <c r="T81" s="132">
        <f>((2159*180.22)+(2200*186.29)+(1800*181.21))/1000</f>
        <v>1125.1109799999999</v>
      </c>
      <c r="U81" s="132">
        <f>((1980*199.28)+(1980*184.89)+(2100*185.71))/1000</f>
        <v>1150.6476</v>
      </c>
      <c r="V81" s="132">
        <f>((2415*184.42)+(2100*195.74)+(2205*202.02))/1000</f>
        <v>1301.8824000000002</v>
      </c>
      <c r="W81" s="30">
        <f>+SUM(S81:V81)</f>
        <v>4099.44956</v>
      </c>
      <c r="X81" s="132">
        <f>((2205*216.5)+(1995*207.57)+(2100*166.71))/1000</f>
        <v>1241.57565</v>
      </c>
      <c r="Y81" s="58">
        <v>1500</v>
      </c>
      <c r="Z81" s="58">
        <f>AVERAGE(U81,V81,X81,Y81)</f>
        <v>1298.5264125000001</v>
      </c>
      <c r="AA81" s="58">
        <f>AVERAGE(V81,X81,Y81,Z81)</f>
        <v>1335.4961156250001</v>
      </c>
      <c r="AB81" s="30">
        <f>+SUM(X81:AA81)</f>
        <v>5375.5981781250002</v>
      </c>
      <c r="AC81" s="58">
        <f>AVERAGE(X81,Y81,Z81,AA81)</f>
        <v>1343.8995445312501</v>
      </c>
      <c r="AD81" s="58">
        <f>AVERAGE(Y81,Z81,AA81,AC81)</f>
        <v>1369.4805181640627</v>
      </c>
      <c r="AE81" s="58">
        <f>AVERAGE(Z81,AA81,AC81,AD81)</f>
        <v>1336.8506477050782</v>
      </c>
      <c r="AF81" s="58">
        <f>AVERAGE(AA81,AC81,AD81,AE81)</f>
        <v>1346.4317065063478</v>
      </c>
      <c r="AG81" s="30">
        <f>+SUM(AC81:AF81)</f>
        <v>5396.6624169067381</v>
      </c>
    </row>
    <row r="82" spans="1:33" outlineLevel="1" x14ac:dyDescent="0.3">
      <c r="A82" s="137"/>
      <c r="B82" s="214" t="s">
        <v>17</v>
      </c>
      <c r="C82" s="215"/>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7.5</v>
      </c>
      <c r="Z82" s="66">
        <f>IF((Z81)&gt;0,(Z81/Z80),0)</f>
        <v>5.525644308510639</v>
      </c>
      <c r="AA82" s="66">
        <f>IF((AA81)&gt;0,(AA81/AA80),0)</f>
        <v>5.6829621941489368</v>
      </c>
      <c r="AB82" s="101">
        <f>+SUM(X82:AA82)</f>
        <v>25.008606502659575</v>
      </c>
      <c r="AC82" s="66">
        <f>IF((AC81)&gt;0,(AC81/AC80),0)</f>
        <v>5.7187214660904262</v>
      </c>
      <c r="AD82" s="66">
        <f>IF((AD81)&gt;0,(AD81/AD80),0)</f>
        <v>5.827576673038565</v>
      </c>
      <c r="AE82" s="66">
        <f>IF((AE81)&gt;0,(AE81/AE80),0)</f>
        <v>5.6887261604471417</v>
      </c>
      <c r="AF82" s="66">
        <f>IF((AF81)&gt;0,(AF81/AF80),0)</f>
        <v>5.7294966234312676</v>
      </c>
      <c r="AG82" s="101">
        <f>+SUM(AC82:AF82)</f>
        <v>22.964520923007399</v>
      </c>
    </row>
    <row r="83" spans="1:33" ht="17.399999999999999" x14ac:dyDescent="0.45">
      <c r="A83" s="137"/>
      <c r="B83" s="205" t="s">
        <v>24</v>
      </c>
      <c r="C83" s="206"/>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7"/>
      <c r="B84" s="210" t="s">
        <v>95</v>
      </c>
      <c r="C84" s="211"/>
      <c r="D84" s="29"/>
      <c r="E84" s="29"/>
      <c r="F84" s="29"/>
      <c r="G84" s="29"/>
      <c r="H84" s="30"/>
      <c r="I84" s="29">
        <v>-536</v>
      </c>
      <c r="J84" s="29">
        <v>-373</v>
      </c>
      <c r="K84" s="29">
        <v>159</v>
      </c>
      <c r="L84" s="29">
        <v>348</v>
      </c>
      <c r="M84" s="30"/>
      <c r="N84" s="29">
        <v>-536</v>
      </c>
      <c r="O84" s="29">
        <v>-373</v>
      </c>
      <c r="P84" s="29">
        <v>159</v>
      </c>
      <c r="Q84" s="29">
        <v>348</v>
      </c>
      <c r="R84" s="30">
        <v>-401</v>
      </c>
      <c r="S84" s="132">
        <v>503</v>
      </c>
      <c r="T84" s="132">
        <v>574</v>
      </c>
      <c r="U84" s="132">
        <v>297</v>
      </c>
      <c r="V84" s="132">
        <v>295</v>
      </c>
      <c r="W84" s="127">
        <f t="shared" ref="W84" si="216">SUM(S84:V84)</f>
        <v>1669</v>
      </c>
      <c r="X84" s="132">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7"/>
      <c r="B85" s="205" t="s">
        <v>96</v>
      </c>
      <c r="C85" s="206"/>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7"/>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2">
        <v>87</v>
      </c>
      <c r="T86" s="132">
        <v>109</v>
      </c>
      <c r="U86" s="132">
        <v>91</v>
      </c>
      <c r="V86" s="132">
        <f>377-U86-T86-S86</f>
        <v>90</v>
      </c>
      <c r="W86" s="30">
        <f>SUM(S86:V86)</f>
        <v>377</v>
      </c>
      <c r="X86" s="132">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7"/>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2">
        <v>723</v>
      </c>
      <c r="T87" s="132">
        <v>927</v>
      </c>
      <c r="U87" s="132">
        <v>907</v>
      </c>
      <c r="V87" s="132">
        <f>3488-U87-T87-S87</f>
        <v>931</v>
      </c>
      <c r="W87" s="30">
        <f t="shared" ref="W87:W89" si="220">SUM(S87:V87)</f>
        <v>3488</v>
      </c>
      <c r="X87" s="132">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7"/>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2">
        <v>113</v>
      </c>
      <c r="T88" s="132">
        <v>160</v>
      </c>
      <c r="U88" s="132">
        <v>148</v>
      </c>
      <c r="V88" s="132">
        <f>569-U88-T88-S88</f>
        <v>148</v>
      </c>
      <c r="W88" s="30">
        <f t="shared" si="220"/>
        <v>569</v>
      </c>
      <c r="X88" s="132">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7"/>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8">
        <v>87</v>
      </c>
      <c r="T89" s="156">
        <v>107</v>
      </c>
      <c r="U89" s="156">
        <v>103</v>
      </c>
      <c r="V89" s="161">
        <f>402-U89-T89-S89</f>
        <v>105</v>
      </c>
      <c r="W89" s="68">
        <f t="shared" si="220"/>
        <v>402</v>
      </c>
      <c r="X89" s="148">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7"/>
      <c r="B90" s="20"/>
      <c r="C90" s="20"/>
      <c r="F90" s="3"/>
      <c r="G90" s="3"/>
      <c r="H90" s="3"/>
      <c r="I90" s="151"/>
      <c r="J90" s="151"/>
      <c r="K90" s="151"/>
      <c r="L90" s="151"/>
      <c r="M90" s="84"/>
      <c r="N90" s="151"/>
      <c r="O90" s="151"/>
      <c r="P90" s="151"/>
      <c r="Q90" s="151"/>
      <c r="R90" s="151"/>
      <c r="S90" s="151"/>
      <c r="T90" s="151"/>
      <c r="U90" s="151"/>
      <c r="V90" s="151"/>
      <c r="W90" s="84"/>
      <c r="Z90" s="3"/>
      <c r="AA90" s="3"/>
      <c r="AB90" s="84"/>
      <c r="AE90" s="3"/>
      <c r="AF90" s="3"/>
      <c r="AG90" s="84"/>
    </row>
    <row r="92" spans="1:33" x14ac:dyDescent="0.3">
      <c r="V92" s="188"/>
      <c r="W92" s="200"/>
      <c r="X92" s="200" t="s">
        <v>158</v>
      </c>
      <c r="Y92" s="189">
        <v>17200</v>
      </c>
      <c r="Z92" s="190">
        <v>18900.000000000004</v>
      </c>
      <c r="AA92" s="190">
        <v>23500</v>
      </c>
      <c r="AB92" s="190">
        <v>77337</v>
      </c>
      <c r="AC92" s="189">
        <v>21100.000000000004</v>
      </c>
      <c r="AD92" s="189">
        <v>20875.406764227329</v>
      </c>
      <c r="AE92" s="190">
        <v>23859.599271183732</v>
      </c>
      <c r="AF92" s="190">
        <v>30764.993964588954</v>
      </c>
      <c r="AG92" s="191">
        <v>96600.000000000015</v>
      </c>
    </row>
    <row r="93" spans="1:33" x14ac:dyDescent="0.3">
      <c r="V93" s="192"/>
      <c r="W93" s="201"/>
      <c r="X93" s="201" t="s">
        <v>157</v>
      </c>
      <c r="Y93" s="193">
        <f t="shared" ref="Y93:AG93" si="230">Y13/Y92 - 1</f>
        <v>0.1084545511046513</v>
      </c>
      <c r="Z93" s="193">
        <f t="shared" si="230"/>
        <v>8.9500373015872769E-2</v>
      </c>
      <c r="AA93" s="193">
        <f t="shared" si="230"/>
        <v>6.1886270335665294E-2</v>
      </c>
      <c r="AB93" s="193">
        <f t="shared" si="230"/>
        <v>6.4798255451958831E-2</v>
      </c>
      <c r="AC93" s="193">
        <f t="shared" si="230"/>
        <v>4.3378185054188556E-2</v>
      </c>
      <c r="AD93" s="193">
        <f t="shared" si="230"/>
        <v>0.13054912516019868</v>
      </c>
      <c r="AE93" s="193">
        <f t="shared" si="230"/>
        <v>5.9863422626351914E-2</v>
      </c>
      <c r="AF93" s="193">
        <f t="shared" si="230"/>
        <v>-8.3814349950528388E-5</v>
      </c>
      <c r="AG93" s="194">
        <f t="shared" si="230"/>
        <v>5.2446009544228289E-2</v>
      </c>
    </row>
    <row r="94" spans="1:33" x14ac:dyDescent="0.3">
      <c r="V94" s="202"/>
      <c r="W94" s="201"/>
      <c r="X94" s="201" t="s">
        <v>159</v>
      </c>
      <c r="Y94" s="195">
        <v>1.3723515677314775</v>
      </c>
      <c r="Z94" s="196">
        <v>1.695014060533657</v>
      </c>
      <c r="AA94" s="196">
        <v>2.4679436420880481</v>
      </c>
      <c r="AB94" s="196">
        <v>7.2445139173704201</v>
      </c>
      <c r="AC94" s="195">
        <v>1.948448098329395</v>
      </c>
      <c r="AD94" s="195">
        <v>2.1582262284033917</v>
      </c>
      <c r="AE94" s="196">
        <v>2.4599001333474257</v>
      </c>
      <c r="AF94" s="196">
        <v>3.2128036556206983</v>
      </c>
      <c r="AG94" s="197">
        <v>9.7793751627925953</v>
      </c>
    </row>
    <row r="95" spans="1:33" x14ac:dyDescent="0.3">
      <c r="V95" s="203"/>
      <c r="W95" s="204"/>
      <c r="X95" s="204" t="s">
        <v>157</v>
      </c>
      <c r="Y95" s="198">
        <f t="shared" ref="Y95:AG95" si="231">Y31/Y94 - 1</f>
        <v>0.18525545385628273</v>
      </c>
      <c r="Z95" s="198">
        <f t="shared" si="231"/>
        <v>8.8246119822279701E-2</v>
      </c>
      <c r="AA95" s="198">
        <f t="shared" si="231"/>
        <v>6.186151461266487E-2</v>
      </c>
      <c r="AB95" s="198">
        <f t="shared" si="231"/>
        <v>7.6814436855274559E-2</v>
      </c>
      <c r="AC95" s="198">
        <f t="shared" si="231"/>
        <v>4.3852106942296354E-2</v>
      </c>
      <c r="AD95" s="198">
        <f t="shared" si="231"/>
        <v>0.12959719440135853</v>
      </c>
      <c r="AE95" s="198">
        <f t="shared" si="231"/>
        <v>6.0410713915021619E-2</v>
      </c>
      <c r="AF95" s="198">
        <f t="shared" si="231"/>
        <v>1.4416477357048763E-3</v>
      </c>
      <c r="AG95" s="199">
        <f t="shared" si="231"/>
        <v>5.300723089702486E-2</v>
      </c>
    </row>
    <row r="96" spans="1:33" x14ac:dyDescent="0.3">
      <c r="V96" s="141"/>
      <c r="W96" s="171"/>
      <c r="X96" s="141"/>
      <c r="Y96" s="183"/>
      <c r="Z96" s="183"/>
      <c r="AA96" s="183"/>
      <c r="AB96" s="183"/>
      <c r="AC96" s="183"/>
      <c r="AD96" s="183"/>
      <c r="AE96" s="183"/>
      <c r="AF96" s="183"/>
      <c r="AG96" s="183"/>
    </row>
    <row r="97" spans="22:33" x14ac:dyDescent="0.3">
      <c r="V97" s="177"/>
      <c r="W97" s="132"/>
      <c r="X97" s="177"/>
      <c r="Y97" s="184"/>
      <c r="Z97" s="185"/>
      <c r="AA97" s="186"/>
      <c r="AB97" s="185"/>
      <c r="AC97" s="187"/>
      <c r="AD97" s="187"/>
      <c r="AE97" s="187"/>
      <c r="AF97" s="185"/>
      <c r="AG97" s="187"/>
    </row>
    <row r="98" spans="22:33" x14ac:dyDescent="0.3">
      <c r="V98" s="181"/>
      <c r="W98" s="141"/>
      <c r="X98" s="182"/>
      <c r="Y98" s="183"/>
      <c r="Z98" s="183"/>
      <c r="AA98" s="183"/>
      <c r="AB98" s="185"/>
      <c r="AC98" s="185"/>
      <c r="AD98" s="185"/>
      <c r="AE98" s="185"/>
      <c r="AF98" s="185"/>
      <c r="AG98" s="185"/>
    </row>
    <row r="99" spans="22:33" x14ac:dyDescent="0.3">
      <c r="V99" s="166"/>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30"/>
      <c r="I7" s="230"/>
      <c r="J7" s="230"/>
      <c r="K7" s="230"/>
      <c r="L7" s="230"/>
      <c r="M7" s="230"/>
      <c r="N7" s="23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2020-07-25T17:34:59Z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