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24226"/>
  <mc:AlternateContent xmlns:mc="http://schemas.openxmlformats.org/markup-compatibility/2006">
    <mc:Choice Requires="x15">
      <x15ac:absPath xmlns:x15ac="http://schemas.microsoft.com/office/spreadsheetml/2010/11/ac" url="C:\Users\Admin\Documents\Gutenberg\4-MODELS\FB Facebook\Contributor Models\"/>
    </mc:Choice>
  </mc:AlternateContent>
  <xr:revisionPtr revIDLastSave="0" documentId="13_ncr:1_{67A758D7-F88D-4031-9DBF-6273010B485F}" xr6:coauthVersionLast="40" xr6:coauthVersionMax="41" xr10:uidLastSave="{00000000-0000-0000-0000-000000000000}"/>
  <bookViews>
    <workbookView xWindow="-108" yWindow="-108" windowWidth="23256" windowHeight="13176" tabRatio="767" xr2:uid="{00000000-000D-0000-FFFF-FFFF00000000}"/>
  </bookViews>
  <sheets>
    <sheet name="Earnings Model" sheetId="3" r:id="rId1"/>
    <sheet name="Std Dev" sheetId="29" r:id="rId2"/>
    <sheet name="USD-EUR" sheetId="38" r:id="rId3"/>
  </sheets>
  <definedNames>
    <definedName name="DATA">#REF!</definedName>
    <definedName name="_xlnm.Print_Area" localSheetId="0">'Earnings Model'!$A$2:$V$180</definedName>
  </definedNames>
  <calcPr calcId="181029"/>
</workbook>
</file>

<file path=xl/calcChain.xml><?xml version="1.0" encoding="utf-8"?>
<calcChain xmlns="http://schemas.openxmlformats.org/spreadsheetml/2006/main">
  <c r="K120" i="3" l="1"/>
  <c r="P120" i="3"/>
  <c r="P121" i="3" s="1"/>
  <c r="J120" i="3"/>
  <c r="J121" i="3" s="1"/>
  <c r="O120" i="3"/>
  <c r="O121" i="3" s="1"/>
  <c r="I120" i="3"/>
  <c r="N120" i="3"/>
  <c r="H120" i="3"/>
  <c r="H121" i="3" s="1"/>
  <c r="M120" i="3"/>
  <c r="M121" i="3" s="1"/>
  <c r="M38" i="3"/>
  <c r="N38" i="3"/>
  <c r="O38" i="3"/>
  <c r="P38" i="3"/>
  <c r="M48" i="3"/>
  <c r="R47" i="3" s="1"/>
  <c r="M40" i="3"/>
  <c r="N40" i="3"/>
  <c r="O40" i="3"/>
  <c r="P40" i="3"/>
  <c r="M50" i="3"/>
  <c r="R49" i="3" s="1"/>
  <c r="M42" i="3"/>
  <c r="N42" i="3"/>
  <c r="O42" i="3"/>
  <c r="P42" i="3"/>
  <c r="M52" i="3"/>
  <c r="R51" i="3" s="1"/>
  <c r="M44" i="3"/>
  <c r="N44" i="3"/>
  <c r="O44" i="3"/>
  <c r="P44" i="3"/>
  <c r="M54" i="3"/>
  <c r="R53" i="3" s="1"/>
  <c r="M67" i="3"/>
  <c r="N67" i="3"/>
  <c r="O67" i="3"/>
  <c r="P67" i="3"/>
  <c r="N48" i="3"/>
  <c r="S47" i="3" s="1"/>
  <c r="N50" i="3"/>
  <c r="S50" i="3" s="1"/>
  <c r="S49" i="3" s="1"/>
  <c r="N52" i="3"/>
  <c r="S51" i="3" s="1"/>
  <c r="N54" i="3"/>
  <c r="S53" i="3" s="1"/>
  <c r="O48" i="3"/>
  <c r="T48" i="3" s="1"/>
  <c r="T47" i="3" s="1"/>
  <c r="O50" i="3"/>
  <c r="T50" i="3" s="1"/>
  <c r="T49" i="3" s="1"/>
  <c r="O52" i="3"/>
  <c r="T51" i="3" s="1"/>
  <c r="O54" i="3"/>
  <c r="T53" i="3" s="1"/>
  <c r="P48" i="3"/>
  <c r="U48" i="3" s="1"/>
  <c r="U47" i="3" s="1"/>
  <c r="P50" i="3"/>
  <c r="U49" i="3" s="1"/>
  <c r="P52" i="3"/>
  <c r="U52" i="3" s="1"/>
  <c r="U51" i="3" s="1"/>
  <c r="P54" i="3"/>
  <c r="U53" i="3" s="1"/>
  <c r="K118" i="3"/>
  <c r="P118" i="3"/>
  <c r="P119" i="3" s="1"/>
  <c r="J118" i="3"/>
  <c r="J119" i="3" s="1"/>
  <c r="O118" i="3"/>
  <c r="O119" i="3" s="1"/>
  <c r="I118" i="3"/>
  <c r="N118" i="3"/>
  <c r="N119" i="3" s="1"/>
  <c r="H118" i="3"/>
  <c r="H119" i="3" s="1"/>
  <c r="M118" i="3"/>
  <c r="M119" i="3" s="1"/>
  <c r="R17" i="3"/>
  <c r="S17" i="3" s="1"/>
  <c r="T17" i="3" s="1"/>
  <c r="U17" i="3" s="1"/>
  <c r="M65" i="3"/>
  <c r="N65" i="3"/>
  <c r="O65" i="3"/>
  <c r="P65" i="3"/>
  <c r="M66" i="3"/>
  <c r="N66" i="3"/>
  <c r="O66" i="3"/>
  <c r="P66" i="3"/>
  <c r="P61" i="3"/>
  <c r="N61" i="3"/>
  <c r="O61" i="3"/>
  <c r="M61" i="3"/>
  <c r="Q8" i="3"/>
  <c r="L8" i="3"/>
  <c r="P60" i="3"/>
  <c r="O60" i="3"/>
  <c r="N60" i="3"/>
  <c r="M60" i="3"/>
  <c r="H60" i="3"/>
  <c r="E60" i="3"/>
  <c r="F60" i="3"/>
  <c r="I60" i="3"/>
  <c r="J60" i="3"/>
  <c r="K60" i="3"/>
  <c r="D60" i="3"/>
  <c r="V79" i="3"/>
  <c r="M10" i="3"/>
  <c r="M64" i="3" s="1"/>
  <c r="N10" i="3"/>
  <c r="N64" i="3" s="1"/>
  <c r="O10" i="3"/>
  <c r="O64" i="3" s="1"/>
  <c r="P10" i="3"/>
  <c r="P64" i="3" s="1"/>
  <c r="Q12" i="3"/>
  <c r="Q13" i="3"/>
  <c r="Q14" i="3"/>
  <c r="Q9" i="3"/>
  <c r="L12" i="3"/>
  <c r="L13" i="3"/>
  <c r="L14" i="3"/>
  <c r="L9" i="3"/>
  <c r="P68" i="3"/>
  <c r="O68" i="3"/>
  <c r="M68" i="3"/>
  <c r="F12" i="3"/>
  <c r="F65" i="3" s="1"/>
  <c r="F13" i="3"/>
  <c r="F14" i="3"/>
  <c r="G14" i="3" s="1"/>
  <c r="G9" i="3"/>
  <c r="J68" i="3"/>
  <c r="K68" i="3"/>
  <c r="M15" i="3"/>
  <c r="N15" i="3"/>
  <c r="O15" i="3"/>
  <c r="P15" i="3"/>
  <c r="M179" i="3"/>
  <c r="N147" i="3"/>
  <c r="O147" i="3" s="1"/>
  <c r="Q94" i="3"/>
  <c r="M123" i="3"/>
  <c r="N129" i="3"/>
  <c r="N131" i="3"/>
  <c r="M177" i="3"/>
  <c r="P164" i="3"/>
  <c r="Q164" i="3" s="1"/>
  <c r="N164" i="3"/>
  <c r="Q17" i="3"/>
  <c r="Q19" i="3"/>
  <c r="Q130" i="3"/>
  <c r="N132" i="3"/>
  <c r="O132" i="3" s="1"/>
  <c r="P132" i="3" s="1"/>
  <c r="Q132" i="3" s="1"/>
  <c r="N133" i="3"/>
  <c r="P133" i="3" s="1"/>
  <c r="Q133" i="3" s="1"/>
  <c r="N134" i="3"/>
  <c r="P134" i="3" s="1"/>
  <c r="N135" i="3"/>
  <c r="O135" i="3" s="1"/>
  <c r="P135" i="3" s="1"/>
  <c r="N137" i="3"/>
  <c r="O137" i="3" s="1"/>
  <c r="P137" i="3" s="1"/>
  <c r="N138" i="3"/>
  <c r="O138" i="3" s="1"/>
  <c r="P138" i="3" s="1"/>
  <c r="N139" i="3"/>
  <c r="O139" i="3" s="1"/>
  <c r="P139" i="3" s="1"/>
  <c r="N140" i="3"/>
  <c r="O140" i="3" s="1"/>
  <c r="P140" i="3" s="1"/>
  <c r="N141" i="3"/>
  <c r="O141" i="3" s="1"/>
  <c r="P141" i="3" s="1"/>
  <c r="N142" i="3"/>
  <c r="O142" i="3" s="1"/>
  <c r="P142" i="3" s="1"/>
  <c r="N143" i="3"/>
  <c r="O143" i="3" s="1"/>
  <c r="P143" i="3" s="1"/>
  <c r="N144" i="3"/>
  <c r="O144" i="3" s="1"/>
  <c r="P144" i="3" s="1"/>
  <c r="H10" i="3"/>
  <c r="H64" i="3" s="1"/>
  <c r="H15" i="3"/>
  <c r="I10" i="3"/>
  <c r="I64" i="3" s="1"/>
  <c r="I15" i="3"/>
  <c r="J10" i="3"/>
  <c r="J64" i="3" s="1"/>
  <c r="J15" i="3"/>
  <c r="K10" i="3"/>
  <c r="K64" i="3" s="1"/>
  <c r="K15" i="3"/>
  <c r="K129" i="3"/>
  <c r="L129" i="3" s="1"/>
  <c r="K130" i="3"/>
  <c r="L130" i="3" s="1"/>
  <c r="K131" i="3"/>
  <c r="K177" i="3" s="1"/>
  <c r="K132" i="3"/>
  <c r="L132" i="3" s="1"/>
  <c r="K133" i="3"/>
  <c r="L133" i="3" s="1"/>
  <c r="K134" i="3"/>
  <c r="K135" i="3"/>
  <c r="K137" i="3"/>
  <c r="L137" i="3" s="1"/>
  <c r="K138" i="3"/>
  <c r="L138" i="3" s="1"/>
  <c r="K139" i="3"/>
  <c r="L139" i="3" s="1"/>
  <c r="K140" i="3"/>
  <c r="L140" i="3" s="1"/>
  <c r="K141" i="3"/>
  <c r="L141" i="3" s="1"/>
  <c r="K142" i="3"/>
  <c r="L142" i="3" s="1"/>
  <c r="K143" i="3"/>
  <c r="L143" i="3" s="1"/>
  <c r="K144" i="3"/>
  <c r="L144" i="3" s="1"/>
  <c r="K147" i="3"/>
  <c r="K179" i="3" s="1"/>
  <c r="M112" i="3"/>
  <c r="M104" i="3"/>
  <c r="M106" i="3" s="1"/>
  <c r="N112" i="3"/>
  <c r="N104" i="3"/>
  <c r="N106" i="3" s="1"/>
  <c r="O112" i="3"/>
  <c r="O104" i="3"/>
  <c r="O106" i="3" s="1"/>
  <c r="P112" i="3"/>
  <c r="P104" i="3"/>
  <c r="P106" i="3" s="1"/>
  <c r="F162" i="3"/>
  <c r="F156" i="3"/>
  <c r="G156" i="3" s="1"/>
  <c r="F158" i="3"/>
  <c r="G158" i="3" s="1"/>
  <c r="F150" i="3"/>
  <c r="F151" i="3" s="1"/>
  <c r="F10" i="3"/>
  <c r="F64" i="3" s="1"/>
  <c r="F19" i="3"/>
  <c r="G19" i="3" s="1"/>
  <c r="F131" i="3"/>
  <c r="G131" i="3" s="1"/>
  <c r="F132" i="3"/>
  <c r="G132" i="3" s="1"/>
  <c r="F133" i="3"/>
  <c r="G133" i="3" s="1"/>
  <c r="F134" i="3"/>
  <c r="G134" i="3" s="1"/>
  <c r="F138" i="3"/>
  <c r="F142" i="3"/>
  <c r="G142" i="3" s="1"/>
  <c r="F144" i="3"/>
  <c r="G144" i="3" s="1"/>
  <c r="H159" i="3"/>
  <c r="H148" i="3"/>
  <c r="I148" i="3" s="1"/>
  <c r="K148" i="3" s="1"/>
  <c r="L148" i="3" s="1"/>
  <c r="I159" i="3"/>
  <c r="I150" i="3"/>
  <c r="K150" i="3" s="1"/>
  <c r="I160" i="3"/>
  <c r="J159" i="3"/>
  <c r="J151" i="3"/>
  <c r="K153" i="3"/>
  <c r="K154" i="3"/>
  <c r="L154" i="3" s="1"/>
  <c r="K155" i="3"/>
  <c r="L155" i="3" s="1"/>
  <c r="K156" i="3"/>
  <c r="L156" i="3" s="1"/>
  <c r="K157" i="3"/>
  <c r="L157" i="3" s="1"/>
  <c r="K158" i="3"/>
  <c r="L158" i="3" s="1"/>
  <c r="K149" i="3"/>
  <c r="L149" i="3" s="1"/>
  <c r="M159" i="3"/>
  <c r="M148" i="3"/>
  <c r="M151" i="3" s="1"/>
  <c r="N153" i="3"/>
  <c r="O153" i="3" s="1"/>
  <c r="P153" i="3" s="1"/>
  <c r="N154" i="3"/>
  <c r="N155" i="3"/>
  <c r="P155" i="3" s="1"/>
  <c r="N156" i="3"/>
  <c r="P156" i="3" s="1"/>
  <c r="Q156" i="3" s="1"/>
  <c r="N157" i="3"/>
  <c r="O157" i="3" s="1"/>
  <c r="P157" i="3" s="1"/>
  <c r="Q157" i="3" s="1"/>
  <c r="N158" i="3"/>
  <c r="N149" i="3"/>
  <c r="O149" i="3" s="1"/>
  <c r="N150" i="3"/>
  <c r="O150" i="3" s="1"/>
  <c r="P150" i="3" s="1"/>
  <c r="N160" i="3"/>
  <c r="Q90" i="3"/>
  <c r="K164" i="3"/>
  <c r="L164" i="3" s="1"/>
  <c r="L90" i="3"/>
  <c r="L17" i="3"/>
  <c r="G90" i="3"/>
  <c r="H164" i="3"/>
  <c r="J164" i="3"/>
  <c r="I164" i="3"/>
  <c r="C159" i="3"/>
  <c r="C151" i="3"/>
  <c r="C10" i="3"/>
  <c r="C64" i="3" s="1"/>
  <c r="C15" i="3"/>
  <c r="D159" i="3"/>
  <c r="D151" i="3"/>
  <c r="D10" i="3"/>
  <c r="D64" i="3" s="1"/>
  <c r="D15" i="3"/>
  <c r="E159" i="3"/>
  <c r="E151" i="3"/>
  <c r="E10" i="3"/>
  <c r="E64" i="3" s="1"/>
  <c r="E15" i="3"/>
  <c r="D112" i="3"/>
  <c r="D104" i="3"/>
  <c r="D106" i="3" s="1"/>
  <c r="E112" i="3"/>
  <c r="E104" i="3"/>
  <c r="E106" i="3" s="1"/>
  <c r="F112" i="3"/>
  <c r="F104" i="3"/>
  <c r="F106" i="3" s="1"/>
  <c r="G100" i="3"/>
  <c r="G101" i="3"/>
  <c r="G102" i="3"/>
  <c r="G103" i="3"/>
  <c r="G105" i="3"/>
  <c r="G108" i="3"/>
  <c r="G109" i="3"/>
  <c r="G110" i="3"/>
  <c r="G111" i="3"/>
  <c r="H104" i="3"/>
  <c r="H106" i="3" s="1"/>
  <c r="H112" i="3"/>
  <c r="I104" i="3"/>
  <c r="I106" i="3" s="1"/>
  <c r="I112" i="3"/>
  <c r="J104" i="3"/>
  <c r="J106" i="3" s="1"/>
  <c r="J112" i="3"/>
  <c r="K104" i="3"/>
  <c r="K106" i="3" s="1"/>
  <c r="K112" i="3"/>
  <c r="L100" i="3"/>
  <c r="L101" i="3"/>
  <c r="L102" i="3"/>
  <c r="L103" i="3"/>
  <c r="L105" i="3"/>
  <c r="L108" i="3"/>
  <c r="L109" i="3"/>
  <c r="L110" i="3"/>
  <c r="L111" i="3"/>
  <c r="Q100" i="3"/>
  <c r="Q101" i="3"/>
  <c r="Q102" i="3"/>
  <c r="Q103" i="3"/>
  <c r="Q105" i="3"/>
  <c r="Q108" i="3"/>
  <c r="Q109" i="3"/>
  <c r="Q110" i="3"/>
  <c r="Q111" i="3"/>
  <c r="C112" i="3"/>
  <c r="C104" i="3"/>
  <c r="C106" i="3" s="1"/>
  <c r="H123" i="3"/>
  <c r="J123" i="3"/>
  <c r="I123" i="3"/>
  <c r="E123" i="3"/>
  <c r="F123" i="3"/>
  <c r="D123" i="3"/>
  <c r="G91" i="3"/>
  <c r="G92" i="3"/>
  <c r="G94" i="3"/>
  <c r="G95" i="3"/>
  <c r="G96" i="3"/>
  <c r="G97" i="3"/>
  <c r="L91" i="3"/>
  <c r="L92" i="3"/>
  <c r="L94" i="3"/>
  <c r="L95" i="3"/>
  <c r="L96" i="3"/>
  <c r="L97" i="3"/>
  <c r="Q91" i="3"/>
  <c r="Q92" i="3"/>
  <c r="Q95" i="3"/>
  <c r="Q96" i="3"/>
  <c r="Q97" i="3"/>
  <c r="L153" i="3"/>
  <c r="L19" i="3"/>
  <c r="L134" i="3"/>
  <c r="L135" i="3"/>
  <c r="G8" i="3"/>
  <c r="G67" i="3" s="1"/>
  <c r="G17" i="3"/>
  <c r="G138" i="3"/>
  <c r="G129" i="3"/>
  <c r="G130" i="3"/>
  <c r="G135" i="3"/>
  <c r="G137" i="3"/>
  <c r="G139" i="3"/>
  <c r="G140" i="3"/>
  <c r="G141" i="3"/>
  <c r="G143" i="3"/>
  <c r="G147" i="3"/>
  <c r="G153" i="3"/>
  <c r="G154" i="3"/>
  <c r="G155" i="3"/>
  <c r="G157" i="3"/>
  <c r="G148" i="3"/>
  <c r="P35" i="3"/>
  <c r="P57" i="3" s="1"/>
  <c r="O35" i="3"/>
  <c r="O57" i="3" s="1"/>
  <c r="N35" i="3"/>
  <c r="N57" i="3" s="1"/>
  <c r="M35" i="3"/>
  <c r="K35" i="3"/>
  <c r="K57" i="3" s="1"/>
  <c r="J35" i="3"/>
  <c r="J57" i="3" s="1"/>
  <c r="I35" i="3"/>
  <c r="I57" i="3" s="1"/>
  <c r="H35" i="3"/>
  <c r="D35" i="3"/>
  <c r="D57" i="3" s="1"/>
  <c r="E35" i="3"/>
  <c r="E57" i="3" s="1"/>
  <c r="F35" i="3"/>
  <c r="F57" i="3" s="1"/>
  <c r="C35" i="3"/>
  <c r="R84" i="3"/>
  <c r="S84" i="3" s="1"/>
  <c r="R83" i="3"/>
  <c r="S83" i="3" s="1"/>
  <c r="R82" i="3"/>
  <c r="S82" i="3" s="1"/>
  <c r="R81" i="3"/>
  <c r="S81" i="3" s="1"/>
  <c r="M76" i="3"/>
  <c r="N76" i="3"/>
  <c r="O76" i="3"/>
  <c r="O77" i="3" s="1"/>
  <c r="P76" i="3"/>
  <c r="P77" i="3" s="1"/>
  <c r="P74" i="3" s="1"/>
  <c r="M77" i="3"/>
  <c r="M73" i="3" s="1"/>
  <c r="N77" i="3"/>
  <c r="N74" i="3" s="1"/>
  <c r="R77" i="3"/>
  <c r="U77" i="3"/>
  <c r="S77" i="3"/>
  <c r="T77" i="3"/>
  <c r="H76" i="3"/>
  <c r="I76" i="3"/>
  <c r="I77" i="3" s="1"/>
  <c r="I73" i="3" s="1"/>
  <c r="J76" i="3"/>
  <c r="J77" i="3" s="1"/>
  <c r="J73" i="3" s="1"/>
  <c r="K76" i="3"/>
  <c r="K77" i="3" s="1"/>
  <c r="D65" i="3"/>
  <c r="E65" i="3"/>
  <c r="H65" i="3"/>
  <c r="I65" i="3"/>
  <c r="J65" i="3"/>
  <c r="K65" i="3"/>
  <c r="D66" i="3"/>
  <c r="E66" i="3"/>
  <c r="H66" i="3"/>
  <c r="I66" i="3"/>
  <c r="J66" i="3"/>
  <c r="K66" i="3"/>
  <c r="D67" i="3"/>
  <c r="E67" i="3"/>
  <c r="F67" i="3"/>
  <c r="H67" i="3"/>
  <c r="I67" i="3"/>
  <c r="J67" i="3"/>
  <c r="K67" i="3"/>
  <c r="C67" i="3"/>
  <c r="C66" i="3"/>
  <c r="C65" i="3"/>
  <c r="P45" i="3"/>
  <c r="O45" i="3"/>
  <c r="N45" i="3"/>
  <c r="M45" i="3"/>
  <c r="K45" i="3"/>
  <c r="E45" i="3"/>
  <c r="F45" i="3"/>
  <c r="D45" i="3"/>
  <c r="C45" i="3"/>
  <c r="I45" i="3"/>
  <c r="J45" i="3"/>
  <c r="H45" i="3"/>
  <c r="K54" i="3"/>
  <c r="J54" i="3"/>
  <c r="I54" i="3"/>
  <c r="H54" i="3"/>
  <c r="K52" i="3"/>
  <c r="J52" i="3"/>
  <c r="I52" i="3"/>
  <c r="H52" i="3"/>
  <c r="K50" i="3"/>
  <c r="J50" i="3"/>
  <c r="I50" i="3"/>
  <c r="H50" i="3"/>
  <c r="I48" i="3"/>
  <c r="J48" i="3"/>
  <c r="K48" i="3"/>
  <c r="H48" i="3"/>
  <c r="K44" i="3"/>
  <c r="J44" i="3"/>
  <c r="I44" i="3"/>
  <c r="H44" i="3"/>
  <c r="K42" i="3"/>
  <c r="J42" i="3"/>
  <c r="I42" i="3"/>
  <c r="H42" i="3"/>
  <c r="K40" i="3"/>
  <c r="J40" i="3"/>
  <c r="I40" i="3"/>
  <c r="H40" i="3"/>
  <c r="K38" i="3"/>
  <c r="J38" i="3"/>
  <c r="I38" i="3"/>
  <c r="H38" i="3"/>
  <c r="V21" i="3"/>
  <c r="Q21" i="3"/>
  <c r="L21" i="3"/>
  <c r="G21" i="3"/>
  <c r="I5" i="29"/>
  <c r="I6" i="29"/>
  <c r="I7" i="29"/>
  <c r="I8" i="29"/>
  <c r="I17" i="29" s="1"/>
  <c r="I9" i="29"/>
  <c r="I10" i="29"/>
  <c r="I11" i="29"/>
  <c r="I12" i="29"/>
  <c r="I13" i="29"/>
  <c r="I14" i="29"/>
  <c r="I15" i="29"/>
  <c r="I16" i="29"/>
  <c r="V76" i="3"/>
  <c r="C177" i="3"/>
  <c r="H179" i="3"/>
  <c r="C179" i="3"/>
  <c r="D118" i="3"/>
  <c r="D119" i="3" s="1"/>
  <c r="I179" i="3"/>
  <c r="D179" i="3"/>
  <c r="F179" i="3"/>
  <c r="E179" i="3"/>
  <c r="J179" i="3"/>
  <c r="G160" i="3"/>
  <c r="G149" i="3"/>
  <c r="N59" i="3"/>
  <c r="M59" i="3"/>
  <c r="K59" i="3"/>
  <c r="J59" i="3"/>
  <c r="H59" i="3"/>
  <c r="H177" i="3"/>
  <c r="I119" i="3"/>
  <c r="F118" i="3"/>
  <c r="F119" i="3" s="1"/>
  <c r="E118" i="3"/>
  <c r="E119" i="3" s="1"/>
  <c r="O59" i="3"/>
  <c r="N121" i="3"/>
  <c r="I177" i="3"/>
  <c r="K121" i="3"/>
  <c r="D177" i="3"/>
  <c r="I59" i="3"/>
  <c r="J177" i="3"/>
  <c r="E177" i="3"/>
  <c r="P59" i="3"/>
  <c r="F177" i="3" l="1"/>
  <c r="L66" i="3"/>
  <c r="H151" i="3"/>
  <c r="N113" i="3"/>
  <c r="N122" i="3" s="1"/>
  <c r="L15" i="3"/>
  <c r="N16" i="3"/>
  <c r="F15" i="3"/>
  <c r="L76" i="3"/>
  <c r="O55" i="3"/>
  <c r="L147" i="3"/>
  <c r="L179" i="3" s="1"/>
  <c r="Q15" i="3"/>
  <c r="Q65" i="3"/>
  <c r="C57" i="3"/>
  <c r="G35" i="3"/>
  <c r="H57" i="3"/>
  <c r="L35" i="3"/>
  <c r="M57" i="3"/>
  <c r="Q35" i="3"/>
  <c r="L131" i="3"/>
  <c r="Q67" i="3"/>
  <c r="I74" i="3"/>
  <c r="Q59" i="3"/>
  <c r="H77" i="3"/>
  <c r="Q66" i="3"/>
  <c r="J113" i="3"/>
  <c r="J122" i="3" s="1"/>
  <c r="N148" i="3"/>
  <c r="O148" i="3" s="1"/>
  <c r="P148" i="3" s="1"/>
  <c r="N179" i="3"/>
  <c r="O16" i="3"/>
  <c r="O18" i="3" s="1"/>
  <c r="O70" i="3" s="1"/>
  <c r="Q10" i="3"/>
  <c r="Q64" i="3" s="1"/>
  <c r="L59" i="3"/>
  <c r="Q76" i="3"/>
  <c r="G10" i="3"/>
  <c r="G64" i="3" s="1"/>
  <c r="D113" i="3"/>
  <c r="D122" i="3" s="1"/>
  <c r="D16" i="3"/>
  <c r="D18" i="3" s="1"/>
  <c r="D70" i="3" s="1"/>
  <c r="C16" i="3"/>
  <c r="C69" i="3" s="1"/>
  <c r="R37" i="3"/>
  <c r="R31" i="3" s="1"/>
  <c r="K160" i="3"/>
  <c r="L160" i="3" s="1"/>
  <c r="G159" i="3"/>
  <c r="M113" i="3"/>
  <c r="M122" i="3" s="1"/>
  <c r="J12" i="29"/>
  <c r="K12" i="29" s="1"/>
  <c r="J16" i="29"/>
  <c r="K16" i="29" s="1"/>
  <c r="J13" i="29"/>
  <c r="K13" i="29" s="1"/>
  <c r="J9" i="29"/>
  <c r="K9" i="29" s="1"/>
  <c r="J5" i="29"/>
  <c r="K5" i="29" s="1"/>
  <c r="J6" i="29"/>
  <c r="K6" i="29" s="1"/>
  <c r="J10" i="29"/>
  <c r="K10" i="29" s="1"/>
  <c r="J14" i="29"/>
  <c r="K14" i="29" s="1"/>
  <c r="K22" i="29"/>
  <c r="J7" i="29"/>
  <c r="K7" i="29" s="1"/>
  <c r="J11" i="29"/>
  <c r="K11" i="29" s="1"/>
  <c r="J15" i="29"/>
  <c r="K15" i="29" s="1"/>
  <c r="H73" i="3"/>
  <c r="Q155" i="3"/>
  <c r="K123" i="3"/>
  <c r="G112" i="3"/>
  <c r="G104" i="3"/>
  <c r="G106" i="3" s="1"/>
  <c r="E16" i="3"/>
  <c r="E18" i="3" s="1"/>
  <c r="Q150" i="3"/>
  <c r="R44" i="3"/>
  <c r="R43" i="3" s="1"/>
  <c r="R34" i="3" s="1"/>
  <c r="G150" i="3"/>
  <c r="G151" i="3" s="1"/>
  <c r="L67" i="3"/>
  <c r="Q153" i="3"/>
  <c r="L10" i="3"/>
  <c r="L64" i="3" s="1"/>
  <c r="Q112" i="3"/>
  <c r="Q104" i="3"/>
  <c r="Q106" i="3" s="1"/>
  <c r="V17" i="3"/>
  <c r="S65" i="3"/>
  <c r="T65" i="3" s="1"/>
  <c r="R41" i="3"/>
  <c r="R33" i="3" s="1"/>
  <c r="J8" i="29"/>
  <c r="K8" i="29" s="1"/>
  <c r="F55" i="3"/>
  <c r="V77" i="3"/>
  <c r="C113" i="3"/>
  <c r="C122" i="3" s="1"/>
  <c r="E113" i="3"/>
  <c r="E122" i="3" s="1"/>
  <c r="I151" i="3"/>
  <c r="P16" i="3"/>
  <c r="L65" i="3"/>
  <c r="R39" i="3"/>
  <c r="R32" i="3" s="1"/>
  <c r="S38" i="3"/>
  <c r="S37" i="3" s="1"/>
  <c r="P147" i="3"/>
  <c r="P179" i="3" s="1"/>
  <c r="J74" i="3"/>
  <c r="G179" i="3"/>
  <c r="O160" i="3"/>
  <c r="P160" i="3" s="1"/>
  <c r="O158" i="3"/>
  <c r="P158" i="3" s="1"/>
  <c r="P154" i="3"/>
  <c r="Q154" i="3" s="1"/>
  <c r="K119" i="3"/>
  <c r="P149" i="3"/>
  <c r="Q149" i="3" s="1"/>
  <c r="I121" i="3"/>
  <c r="N123" i="3"/>
  <c r="O129" i="3"/>
  <c r="O123" i="3" s="1"/>
  <c r="K55" i="3"/>
  <c r="K74" i="3"/>
  <c r="K73" i="3"/>
  <c r="O151" i="3"/>
  <c r="N177" i="3"/>
  <c r="O131" i="3"/>
  <c r="P131" i="3" s="1"/>
  <c r="P177" i="3" s="1"/>
  <c r="G13" i="3"/>
  <c r="G66" i="3" s="1"/>
  <c r="F66" i="3"/>
  <c r="J55" i="3"/>
  <c r="L159" i="3"/>
  <c r="L112" i="3"/>
  <c r="N159" i="3"/>
  <c r="K159" i="3"/>
  <c r="F16" i="3"/>
  <c r="F159" i="3"/>
  <c r="J16" i="3"/>
  <c r="H16" i="3"/>
  <c r="H68" i="3"/>
  <c r="Q68" i="3"/>
  <c r="Q62" i="3"/>
  <c r="K151" i="3"/>
  <c r="M16" i="3"/>
  <c r="E55" i="3"/>
  <c r="M55" i="3"/>
  <c r="L150" i="3"/>
  <c r="L104" i="3"/>
  <c r="L106" i="3" s="1"/>
  <c r="H113" i="3"/>
  <c r="H122" i="3" s="1"/>
  <c r="N151" i="3"/>
  <c r="O113" i="3"/>
  <c r="O122" i="3" s="1"/>
  <c r="K16" i="3"/>
  <c r="I16" i="3"/>
  <c r="N68" i="3"/>
  <c r="Q77" i="3"/>
  <c r="K113" i="3"/>
  <c r="I113" i="3"/>
  <c r="F113" i="3"/>
  <c r="P55" i="3"/>
  <c r="C18" i="3"/>
  <c r="I55" i="3"/>
  <c r="H55" i="3"/>
  <c r="D55" i="3"/>
  <c r="N55" i="3"/>
  <c r="O73" i="3"/>
  <c r="O74" i="3"/>
  <c r="N73" i="3"/>
  <c r="M74" i="3"/>
  <c r="T81" i="3"/>
  <c r="T82" i="3"/>
  <c r="T83" i="3"/>
  <c r="T84" i="3"/>
  <c r="U84" i="3" s="1"/>
  <c r="P73" i="3"/>
  <c r="P113" i="3"/>
  <c r="Q144" i="3"/>
  <c r="Q143" i="3"/>
  <c r="Q142" i="3"/>
  <c r="Q141" i="3"/>
  <c r="Q140" i="3"/>
  <c r="Q139" i="3"/>
  <c r="Q138" i="3"/>
  <c r="Q137" i="3"/>
  <c r="Q135" i="3"/>
  <c r="Q134" i="3"/>
  <c r="O177" i="3"/>
  <c r="O179" i="3"/>
  <c r="G12" i="3"/>
  <c r="D69" i="3" l="1"/>
  <c r="O20" i="3"/>
  <c r="O22" i="3" s="1"/>
  <c r="N18" i="3"/>
  <c r="N69" i="3"/>
  <c r="L151" i="3"/>
  <c r="Q16" i="3"/>
  <c r="S44" i="3"/>
  <c r="S43" i="3" s="1"/>
  <c r="S34" i="3" s="1"/>
  <c r="P159" i="3"/>
  <c r="L16" i="3"/>
  <c r="L69" i="3" s="1"/>
  <c r="Q131" i="3"/>
  <c r="O69" i="3"/>
  <c r="G113" i="3"/>
  <c r="G122" i="3" s="1"/>
  <c r="H74" i="3"/>
  <c r="L77" i="3"/>
  <c r="O159" i="3"/>
  <c r="Q113" i="3"/>
  <c r="Q122" i="3" s="1"/>
  <c r="D20" i="3"/>
  <c r="D22" i="3" s="1"/>
  <c r="Q160" i="3"/>
  <c r="R45" i="3"/>
  <c r="E69" i="3"/>
  <c r="R35" i="3"/>
  <c r="S31" i="3"/>
  <c r="T38" i="3"/>
  <c r="T37" i="3" s="1"/>
  <c r="R74" i="3"/>
  <c r="R24" i="3" s="1"/>
  <c r="L113" i="3"/>
  <c r="L122" i="3" s="1"/>
  <c r="Q147" i="3"/>
  <c r="Q179" i="3" s="1"/>
  <c r="P18" i="3"/>
  <c r="P69" i="3"/>
  <c r="S40" i="3"/>
  <c r="K18" i="29"/>
  <c r="K19" i="29" s="1"/>
  <c r="K20" i="29" s="1"/>
  <c r="K21" i="29" s="1"/>
  <c r="O128" i="3"/>
  <c r="O145" i="3" s="1"/>
  <c r="O25" i="3"/>
  <c r="O26" i="3"/>
  <c r="K18" i="3"/>
  <c r="K69" i="3"/>
  <c r="F18" i="3"/>
  <c r="F69" i="3"/>
  <c r="I18" i="3"/>
  <c r="I69" i="3"/>
  <c r="H18" i="3"/>
  <c r="H69" i="3"/>
  <c r="P129" i="3"/>
  <c r="Q158" i="3"/>
  <c r="Q159" i="3" s="1"/>
  <c r="E20" i="3"/>
  <c r="E70" i="3"/>
  <c r="Q18" i="3"/>
  <c r="Q69" i="3"/>
  <c r="M18" i="3"/>
  <c r="M69" i="3"/>
  <c r="J18" i="3"/>
  <c r="J69" i="3"/>
  <c r="I122" i="3"/>
  <c r="L68" i="3"/>
  <c r="I68" i="3"/>
  <c r="G15" i="3"/>
  <c r="G16" i="3" s="1"/>
  <c r="G65" i="3"/>
  <c r="P122" i="3"/>
  <c r="U83" i="3"/>
  <c r="K122" i="3"/>
  <c r="U82" i="3"/>
  <c r="C20" i="3"/>
  <c r="C70" i="3"/>
  <c r="R73" i="3"/>
  <c r="P151" i="3"/>
  <c r="Q148" i="3"/>
  <c r="U81" i="3"/>
  <c r="F122" i="3"/>
  <c r="S74" i="3" l="1"/>
  <c r="T74" i="3" s="1"/>
  <c r="D26" i="3"/>
  <c r="L18" i="3"/>
  <c r="D128" i="3"/>
  <c r="D145" i="3" s="1"/>
  <c r="D161" i="3" s="1"/>
  <c r="D25" i="3"/>
  <c r="N70" i="3"/>
  <c r="N20" i="3"/>
  <c r="U38" i="3"/>
  <c r="U37" i="3" s="1"/>
  <c r="U31" i="3" s="1"/>
  <c r="Q151" i="3"/>
  <c r="R55" i="3"/>
  <c r="O161" i="3"/>
  <c r="T44" i="3"/>
  <c r="T43" i="3" s="1"/>
  <c r="T34" i="3" s="1"/>
  <c r="S39" i="3"/>
  <c r="T39" i="3"/>
  <c r="P70" i="3"/>
  <c r="P20" i="3"/>
  <c r="T31" i="3"/>
  <c r="S41" i="3"/>
  <c r="S33" i="3" s="1"/>
  <c r="T42" i="3"/>
  <c r="T41" i="3" s="1"/>
  <c r="P123" i="3"/>
  <c r="F20" i="3"/>
  <c r="F70" i="3"/>
  <c r="M70" i="3"/>
  <c r="M20" i="3"/>
  <c r="O166" i="3"/>
  <c r="E128" i="3"/>
  <c r="E145" i="3" s="1"/>
  <c r="E161" i="3" s="1"/>
  <c r="E25" i="3"/>
  <c r="E26" i="3"/>
  <c r="E22" i="3"/>
  <c r="H20" i="3"/>
  <c r="H70" i="3"/>
  <c r="I20" i="3"/>
  <c r="I70" i="3"/>
  <c r="J20" i="3"/>
  <c r="J70" i="3"/>
  <c r="Q20" i="3"/>
  <c r="Q70" i="3"/>
  <c r="Q129" i="3"/>
  <c r="L20" i="3"/>
  <c r="L70" i="3"/>
  <c r="K20" i="3"/>
  <c r="K70" i="3"/>
  <c r="S73" i="3"/>
  <c r="T73" i="3" s="1"/>
  <c r="C128" i="3"/>
  <c r="C145" i="3" s="1"/>
  <c r="C26" i="3"/>
  <c r="C25" i="3"/>
  <c r="C22" i="3"/>
  <c r="G18" i="3"/>
  <c r="G69" i="3"/>
  <c r="R23" i="3"/>
  <c r="U67" i="3"/>
  <c r="S24" i="3" l="1"/>
  <c r="T24" i="3" s="1"/>
  <c r="U74" i="3"/>
  <c r="U44" i="3"/>
  <c r="U43" i="3" s="1"/>
  <c r="U34" i="3" s="1"/>
  <c r="N25" i="3"/>
  <c r="N22" i="3"/>
  <c r="N128" i="3"/>
  <c r="N145" i="3" s="1"/>
  <c r="N26" i="3"/>
  <c r="U42" i="3"/>
  <c r="U41" i="3" s="1"/>
  <c r="U33" i="3" s="1"/>
  <c r="U40" i="3"/>
  <c r="U39" i="3" s="1"/>
  <c r="U32" i="3" s="1"/>
  <c r="T33" i="3"/>
  <c r="T45" i="3"/>
  <c r="T32" i="3"/>
  <c r="P128" i="3"/>
  <c r="P145" i="3" s="1"/>
  <c r="P161" i="3" s="1"/>
  <c r="P22" i="3"/>
  <c r="P25" i="3"/>
  <c r="P26" i="3"/>
  <c r="S32" i="3"/>
  <c r="S35" i="3" s="1"/>
  <c r="S45" i="3"/>
  <c r="K128" i="3"/>
  <c r="K145" i="3" s="1"/>
  <c r="K25" i="3"/>
  <c r="K22" i="3"/>
  <c r="K26" i="3"/>
  <c r="J128" i="3"/>
  <c r="J145" i="3" s="1"/>
  <c r="J26" i="3"/>
  <c r="J25" i="3"/>
  <c r="J22" i="3"/>
  <c r="I128" i="3"/>
  <c r="I145" i="3" s="1"/>
  <c r="I22" i="3"/>
  <c r="I25" i="3"/>
  <c r="I26" i="3"/>
  <c r="H128" i="3"/>
  <c r="H145" i="3" s="1"/>
  <c r="H178" i="3" s="1"/>
  <c r="H26" i="3"/>
  <c r="H22" i="3"/>
  <c r="H25" i="3"/>
  <c r="M128" i="3"/>
  <c r="M145" i="3" s="1"/>
  <c r="M22" i="3"/>
  <c r="M26" i="3"/>
  <c r="M25" i="3"/>
  <c r="L128" i="3"/>
  <c r="L145" i="3" s="1"/>
  <c r="L22" i="3"/>
  <c r="L26" i="3"/>
  <c r="L25" i="3"/>
  <c r="Q128" i="3"/>
  <c r="Q145" i="3" s="1"/>
  <c r="Q22" i="3"/>
  <c r="Q25" i="3"/>
  <c r="Q26" i="3"/>
  <c r="F128" i="3"/>
  <c r="F145" i="3" s="1"/>
  <c r="F161" i="3" s="1"/>
  <c r="F163" i="3" s="1"/>
  <c r="F22" i="3"/>
  <c r="F26" i="3"/>
  <c r="F25" i="3"/>
  <c r="G70" i="3"/>
  <c r="G20" i="3"/>
  <c r="C161" i="3"/>
  <c r="C163" i="3" s="1"/>
  <c r="C165" i="3" s="1"/>
  <c r="S23" i="3"/>
  <c r="T23" i="3" s="1"/>
  <c r="U73" i="3"/>
  <c r="U24" i="3" l="1"/>
  <c r="N166" i="3"/>
  <c r="N161" i="3"/>
  <c r="S55" i="3"/>
  <c r="U35" i="3"/>
  <c r="T35" i="3"/>
  <c r="T55" i="3" s="1"/>
  <c r="U45" i="3"/>
  <c r="V45" i="3" s="1"/>
  <c r="P166" i="3"/>
  <c r="K166" i="3"/>
  <c r="K178" i="3"/>
  <c r="K161" i="3"/>
  <c r="G163" i="3"/>
  <c r="F165" i="3"/>
  <c r="F89" i="3" s="1"/>
  <c r="Q166" i="3"/>
  <c r="Q161" i="3"/>
  <c r="Q178" i="3"/>
  <c r="L166" i="3"/>
  <c r="L161" i="3"/>
  <c r="M166" i="3"/>
  <c r="M178" i="3"/>
  <c r="M161" i="3"/>
  <c r="R8" i="3"/>
  <c r="I166" i="3"/>
  <c r="N178" i="3"/>
  <c r="I161" i="3"/>
  <c r="I178" i="3"/>
  <c r="J178" i="3"/>
  <c r="J166" i="3"/>
  <c r="J161" i="3"/>
  <c r="O178" i="3"/>
  <c r="H166" i="3"/>
  <c r="H161" i="3"/>
  <c r="P178" i="3"/>
  <c r="U23" i="3"/>
  <c r="C89" i="3"/>
  <c r="D162" i="3"/>
  <c r="D163" i="3" s="1"/>
  <c r="D165" i="3" s="1"/>
  <c r="G128" i="3"/>
  <c r="G145" i="3" s="1"/>
  <c r="G25" i="3"/>
  <c r="G22" i="3"/>
  <c r="G26" i="3"/>
  <c r="V35" i="3" l="1"/>
  <c r="U55" i="3"/>
  <c r="V55" i="3" s="1"/>
  <c r="R57" i="3"/>
  <c r="R14" i="3"/>
  <c r="R60" i="3"/>
  <c r="R9" i="3"/>
  <c r="R12" i="3"/>
  <c r="R13" i="3"/>
  <c r="R59" i="3"/>
  <c r="R61" i="3"/>
  <c r="S8" i="3"/>
  <c r="G165" i="3"/>
  <c r="L162" i="3" s="1"/>
  <c r="H162" i="3"/>
  <c r="H163" i="3" s="1"/>
  <c r="G89" i="3"/>
  <c r="F170" i="3"/>
  <c r="F172" i="3" s="1"/>
  <c r="F93" i="3"/>
  <c r="F98" i="3" s="1"/>
  <c r="F114" i="3" s="1"/>
  <c r="E162" i="3"/>
  <c r="E163" i="3" s="1"/>
  <c r="E165" i="3" s="1"/>
  <c r="E89" i="3" s="1"/>
  <c r="D89" i="3"/>
  <c r="C93" i="3"/>
  <c r="C98" i="3" s="1"/>
  <c r="C114" i="3" s="1"/>
  <c r="C170" i="3"/>
  <c r="C172" i="3" s="1"/>
  <c r="G166" i="3"/>
  <c r="G161" i="3"/>
  <c r="L178" i="3"/>
  <c r="S57" i="3" l="1"/>
  <c r="U8" i="3"/>
  <c r="U57" i="3" s="1"/>
  <c r="G93" i="3"/>
  <c r="G98" i="3" s="1"/>
  <c r="G114" i="3" s="1"/>
  <c r="G170" i="3"/>
  <c r="G172" i="3" s="1"/>
  <c r="T8" i="3"/>
  <c r="H165" i="3"/>
  <c r="H89" i="3" s="1"/>
  <c r="I162" i="3"/>
  <c r="I163" i="3" s="1"/>
  <c r="R15" i="3"/>
  <c r="S14" i="3"/>
  <c r="S12" i="3"/>
  <c r="S61" i="3"/>
  <c r="S60" i="3"/>
  <c r="S59" i="3"/>
  <c r="S13" i="3"/>
  <c r="S9" i="3"/>
  <c r="R62" i="3"/>
  <c r="R63" i="3"/>
  <c r="R10" i="3"/>
  <c r="R68" i="3"/>
  <c r="D93" i="3"/>
  <c r="D98" i="3" s="1"/>
  <c r="D114" i="3" s="1"/>
  <c r="D71" i="3"/>
  <c r="D170" i="3"/>
  <c r="D172" i="3" s="1"/>
  <c r="E93" i="3"/>
  <c r="E98" i="3" s="1"/>
  <c r="E114" i="3" s="1"/>
  <c r="E71" i="3"/>
  <c r="E170" i="3"/>
  <c r="E172" i="3" s="1"/>
  <c r="F71" i="3"/>
  <c r="T57" i="3" l="1"/>
  <c r="S15" i="3"/>
  <c r="R16" i="3"/>
  <c r="T14" i="3"/>
  <c r="T60" i="3"/>
  <c r="T59" i="3"/>
  <c r="T61" i="3"/>
  <c r="T13" i="3"/>
  <c r="T9" i="3"/>
  <c r="T12" i="3"/>
  <c r="V8" i="3"/>
  <c r="S68" i="3"/>
  <c r="I165" i="3"/>
  <c r="I89" i="3" s="1"/>
  <c r="J162" i="3"/>
  <c r="J163" i="3" s="1"/>
  <c r="S63" i="3"/>
  <c r="S62" i="3"/>
  <c r="H93" i="3"/>
  <c r="H98" i="3" s="1"/>
  <c r="H114" i="3" s="1"/>
  <c r="H170" i="3"/>
  <c r="H172" i="3" s="1"/>
  <c r="H71" i="3"/>
  <c r="U14" i="3"/>
  <c r="U12" i="3"/>
  <c r="U13" i="3"/>
  <c r="U9" i="3"/>
  <c r="U59" i="3"/>
  <c r="U61" i="3"/>
  <c r="U60" i="3"/>
  <c r="S10" i="3"/>
  <c r="V12" i="3" l="1"/>
  <c r="S16" i="3"/>
  <c r="S18" i="3" s="1"/>
  <c r="S19" i="3" s="1"/>
  <c r="V13" i="3"/>
  <c r="T15" i="3"/>
  <c r="U15" i="3"/>
  <c r="T68" i="3"/>
  <c r="V9" i="3"/>
  <c r="V10" i="3" s="1"/>
  <c r="R18" i="3"/>
  <c r="R19" i="3" s="1"/>
  <c r="R20" i="3" s="1"/>
  <c r="R69" i="3"/>
  <c r="V14" i="3"/>
  <c r="I93" i="3"/>
  <c r="I98" i="3" s="1"/>
  <c r="I114" i="3" s="1"/>
  <c r="I71" i="3"/>
  <c r="I170" i="3"/>
  <c r="I172" i="3" s="1"/>
  <c r="U62" i="3"/>
  <c r="U63" i="3"/>
  <c r="U68" i="3"/>
  <c r="T62" i="3"/>
  <c r="T63" i="3"/>
  <c r="K162" i="3"/>
  <c r="K163" i="3" s="1"/>
  <c r="J165" i="3"/>
  <c r="J89" i="3" s="1"/>
  <c r="T10" i="3"/>
  <c r="U10" i="3"/>
  <c r="V62" i="3"/>
  <c r="V59" i="3"/>
  <c r="S69" i="3" l="1"/>
  <c r="V15" i="3"/>
  <c r="V16" i="3" s="1"/>
  <c r="T16" i="3"/>
  <c r="T18" i="3" s="1"/>
  <c r="U16" i="3"/>
  <c r="U18" i="3" s="1"/>
  <c r="S20" i="3"/>
  <c r="S26" i="3" s="1"/>
  <c r="J170" i="3"/>
  <c r="J172" i="3" s="1"/>
  <c r="J93" i="3"/>
  <c r="J98" i="3" s="1"/>
  <c r="J114" i="3" s="1"/>
  <c r="J71" i="3"/>
  <c r="R26" i="3"/>
  <c r="R25" i="3"/>
  <c r="R22" i="3"/>
  <c r="L163" i="3"/>
  <c r="K165" i="3"/>
  <c r="K89" i="3" s="1"/>
  <c r="V68" i="3"/>
  <c r="V64" i="3"/>
  <c r="S22" i="3" l="1"/>
  <c r="T69" i="3"/>
  <c r="U69" i="3"/>
  <c r="S25" i="3"/>
  <c r="M162" i="3"/>
  <c r="M163" i="3" s="1"/>
  <c r="L165" i="3"/>
  <c r="Q162" i="3" s="1"/>
  <c r="K71" i="3"/>
  <c r="K170" i="3"/>
  <c r="K172" i="3" s="1"/>
  <c r="K93" i="3"/>
  <c r="K98" i="3" s="1"/>
  <c r="K114" i="3" s="1"/>
  <c r="L89" i="3"/>
  <c r="U19" i="3"/>
  <c r="U20" i="3" s="1"/>
  <c r="T19" i="3"/>
  <c r="T20" i="3" s="1"/>
  <c r="V18" i="3"/>
  <c r="V69" i="3"/>
  <c r="U22" i="3" l="1"/>
  <c r="U26" i="3"/>
  <c r="U25" i="3"/>
  <c r="N162" i="3"/>
  <c r="N163" i="3" s="1"/>
  <c r="M165" i="3"/>
  <c r="M89" i="3" s="1"/>
  <c r="T26" i="3"/>
  <c r="T25" i="3"/>
  <c r="T22" i="3"/>
  <c r="L170" i="3"/>
  <c r="L172" i="3" s="1"/>
  <c r="L71" i="3"/>
  <c r="L93" i="3"/>
  <c r="L98" i="3" s="1"/>
  <c r="L114" i="3" s="1"/>
  <c r="V19" i="3"/>
  <c r="V70" i="3" s="1"/>
  <c r="M71" i="3" l="1"/>
  <c r="M93" i="3"/>
  <c r="M98" i="3" s="1"/>
  <c r="M114" i="3" s="1"/>
  <c r="M170" i="3"/>
  <c r="M172" i="3" s="1"/>
  <c r="V20" i="3"/>
  <c r="N165" i="3"/>
  <c r="N89" i="3" s="1"/>
  <c r="O162" i="3"/>
  <c r="O163" i="3" s="1"/>
  <c r="O165" i="3" l="1"/>
  <c r="O89" i="3" s="1"/>
  <c r="P162" i="3"/>
  <c r="P163" i="3" s="1"/>
  <c r="V22" i="3"/>
  <c r="V23" i="3"/>
  <c r="V25" i="3" s="1"/>
  <c r="V24" i="3"/>
  <c r="V26" i="3" s="1"/>
  <c r="N71" i="3"/>
  <c r="N93" i="3"/>
  <c r="N98" i="3" s="1"/>
  <c r="N114" i="3" s="1"/>
  <c r="N170" i="3"/>
  <c r="N172" i="3" s="1"/>
  <c r="O170" i="3" l="1"/>
  <c r="O172" i="3" s="1"/>
  <c r="O93" i="3"/>
  <c r="O98" i="3" s="1"/>
  <c r="O114" i="3" s="1"/>
  <c r="O71" i="3"/>
  <c r="P165" i="3"/>
  <c r="P89" i="3" s="1"/>
  <c r="Q163" i="3"/>
  <c r="P170" i="3" l="1"/>
  <c r="P172" i="3" s="1"/>
  <c r="P71" i="3"/>
  <c r="P93" i="3"/>
  <c r="P98" i="3" s="1"/>
  <c r="P114" i="3" s="1"/>
  <c r="Q89" i="3"/>
  <c r="Q165" i="3"/>
  <c r="Q71" i="3" l="1"/>
  <c r="Q170" i="3"/>
  <c r="Q172" i="3" s="1"/>
  <c r="Q93" i="3"/>
  <c r="Q98" i="3" s="1"/>
  <c r="Q114" i="3" s="1"/>
  <c r="V7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A62"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V62" authorId="0" shapeId="0" xr:uid="{C21D2766-6121-4FD0-BCDE-43CEFE14D396}">
      <text>
        <r>
          <rPr>
            <b/>
            <sz val="9"/>
            <color rgb="FF000000"/>
            <rFont val="Tahoma"/>
            <family val="2"/>
          </rPr>
          <t xml:space="preserve">4Q2018 Earnings call guidance: </t>
        </r>
        <r>
          <rPr>
            <sz val="9"/>
            <color rgb="FF000000"/>
            <rFont val="Tahoma"/>
            <family val="2"/>
          </rPr>
          <t xml:space="preserve">"In Q1, we expect our total revenue growth rate to decelerate by a mid-single digit percentage on a constant currency basis compared to the Q4 rate. We also expect that our revenue growth rates will continue to decelerate sequentially throughout 2019 on a constant currency basis."
</t>
        </r>
        <r>
          <rPr>
            <sz val="9"/>
            <color rgb="FF000000"/>
            <rFont val="Tahoma"/>
            <family val="2"/>
          </rPr>
          <t xml:space="preserve">
</t>
        </r>
        <r>
          <rPr>
            <sz val="9"/>
            <color rgb="FF000000"/>
            <rFont val="Tahoma"/>
            <family val="2"/>
          </rPr>
          <t xml:space="preserve">"We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t>
        </r>
        <r>
          <rPr>
            <sz val="9"/>
            <color rgb="FF000000"/>
            <rFont val="Tahoma"/>
            <family val="2"/>
          </rPr>
          <t>-Dave Wehner, CFO 4Q2019 follow-up call 1/30/2019 6:45pm</t>
        </r>
      </text>
    </comment>
    <comment ref="V68" authorId="0" shapeId="0" xr:uid="{4A8C62BC-0161-41D5-B168-8A39C9AEAE2C}">
      <text>
        <r>
          <rPr>
            <b/>
            <sz val="9"/>
            <color rgb="FF000000"/>
            <rFont val="Tahoma"/>
            <family val="2"/>
          </rPr>
          <t>4Q2018 Earnings call guidance: "</t>
        </r>
        <r>
          <rPr>
            <sz val="9"/>
            <color rgb="FF000000"/>
            <rFont val="Tahoma"/>
            <family val="2"/>
          </rPr>
          <t xml:space="preserve">On a full-year basis, we continue to expect 2019 total expenses will grow approximately 40-50% compared to 2018."
</t>
        </r>
        <r>
          <rPr>
            <sz val="9"/>
            <color rgb="FF000000"/>
            <rFont val="Tahoma"/>
            <family val="2"/>
          </rPr>
          <t xml:space="preserve">
</t>
        </r>
        <r>
          <rPr>
            <sz val="9"/>
            <color rgb="FF000000"/>
            <rFont val="Tahoma"/>
            <family val="2"/>
          </rPr>
          <t xml:space="preserve">"I would note that the 62 percent expense growth that we saw in Q4 we don't expect to continue. You know, there's the continuing underlying secular factors that are driving the expense growth rate. That's the investment in infrastructure, which is
</t>
        </r>
        <r>
          <rPr>
            <sz val="9"/>
            <color rgb="FF000000"/>
            <rFont val="Tahoma"/>
            <family val="2"/>
          </rPr>
          <t xml:space="preserve">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t>
        </r>
        <r>
          <rPr>
            <sz val="9"/>
            <color rgb="FF000000"/>
            <rFont val="Tahoma"/>
            <family val="2"/>
          </rPr>
          <t xml:space="preserve">Oculus Go. I think I called that out on the call. And that's -- so we would expect that to tick down in 2019, so I wouldn't expect that 62 percent growth rate into Q1."
</t>
        </r>
        <r>
          <rPr>
            <sz val="9"/>
            <color rgb="FF000000"/>
            <rFont val="Tahoma"/>
            <family val="2"/>
          </rPr>
          <t>-Dave Wehner, CFO 4Q2019 follow-up call 1/30/2019 6:45pm</t>
        </r>
      </text>
    </comment>
    <comment ref="V70" authorId="0" shapeId="0" xr:uid="{31EB3E07-8D54-47D7-AC44-3904EE0C779A}">
      <text>
        <r>
          <rPr>
            <b/>
            <sz val="9"/>
            <color rgb="FF000000"/>
            <rFont val="Tahoma"/>
            <family val="2"/>
          </rPr>
          <t>4Q2018 Earnings call guidance:</t>
        </r>
        <r>
          <rPr>
            <sz val="9"/>
            <color rgb="FF000000"/>
            <rFont val="Tahoma"/>
            <family val="2"/>
          </rPr>
          <t xml:space="preserve"> "we expect that our 2019 tax rate will be a few percentage points higher than our 2018 rate."</t>
        </r>
      </text>
    </comment>
    <comment ref="E111" authorId="0" shapeId="0" xr:uid="{9ABAE26A-F3AF-46A2-B58B-FAC96DEECFAA}">
      <text>
        <r>
          <rPr>
            <sz val="9"/>
            <color indexed="81"/>
            <rFont val="Tahoma"/>
            <family val="2"/>
          </rPr>
          <t>Adjusted for ASU 2016-09</t>
        </r>
      </text>
    </comment>
    <comment ref="A122" authorId="0" shapeId="0" xr:uid="{B2B9A67E-D66C-434E-A5CC-DD9B8240C6E8}">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F162" authorId="0" shapeId="0" xr:uid="{7E71E24B-C793-4B17-B220-91B11437F843}">
      <text>
        <r>
          <rPr>
            <b/>
            <sz val="9"/>
            <color indexed="81"/>
            <rFont val="Tahoma"/>
            <family val="2"/>
          </rPr>
          <t>Adjusted for ASU 2016-09</t>
        </r>
      </text>
    </comment>
    <comment ref="G162" authorId="0" shapeId="0" xr:uid="{CBB43C0D-65E2-47F7-8F6C-DAB5B42D5094}">
      <text>
        <r>
          <rPr>
            <b/>
            <sz val="9"/>
            <color indexed="81"/>
            <rFont val="Tahoma"/>
            <family val="2"/>
          </rPr>
          <t>Adjusted for ASU 2016-09</t>
        </r>
      </text>
    </comment>
    <comment ref="H162" authorId="0" shapeId="0" xr:uid="{07895E27-00A3-4EEA-838A-D676E7F82469}">
      <text>
        <r>
          <rPr>
            <sz val="9"/>
            <color indexed="81"/>
            <rFont val="Tahoma"/>
            <family val="2"/>
          </rPr>
          <t>*Prior-period information has been retrospectively adjusted due to our adoption of ASU No. 2016-18, Statement of Cash Flows, Restricted Cash (Topic 230) on January 1, 2018.</t>
        </r>
      </text>
    </comment>
    <comment ref="A166" authorId="0" shapeId="0" xr:uid="{FA95C4A7-0B69-4F13-92E4-DBC34B46CEE3}">
      <text>
        <r>
          <rPr>
            <sz val="9"/>
            <color indexed="81"/>
            <rFont val="Tahoma"/>
            <family val="2"/>
          </rPr>
          <t>Cash Flow from Operations - Capital Expenditures + After tax Interest Expense</t>
        </r>
      </text>
    </comment>
  </commentList>
</comments>
</file>

<file path=xl/sharedStrings.xml><?xml version="1.0" encoding="utf-8"?>
<sst xmlns="http://schemas.openxmlformats.org/spreadsheetml/2006/main" count="570" uniqueCount="224">
  <si>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</si>
  <si>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</si>
  <si>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</si>
  <si>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</si>
  <si>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</si>
  <si>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</si>
  <si>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</si>
  <si>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</si>
  <si>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</si>
  <si>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</si>
  <si>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</si>
  <si>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</si>
  <si>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</si>
  <si>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</si>
  <si>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</si>
  <si>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</si>
  <si>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</si>
  <si>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</si>
  <si>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</si>
  <si>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</si>
  <si>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</si>
  <si>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</si>
  <si>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</si>
  <si>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</si>
  <si>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</si>
  <si>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</si>
  <si>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</si>
  <si>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</si>
  <si>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</si>
  <si>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</si>
  <si>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Provisions for income tax</t>
  </si>
  <si>
    <t>Cash and equivalents</t>
  </si>
  <si>
    <t>Goodwill</t>
  </si>
  <si>
    <t>Accounts payable</t>
  </si>
  <si>
    <t>Other non-current liabilities</t>
  </si>
  <si>
    <t xml:space="preserve">Retained earnings </t>
  </si>
  <si>
    <t>Total shareholders' equity</t>
  </si>
  <si>
    <t xml:space="preserve">Net income </t>
  </si>
  <si>
    <t xml:space="preserve">Basic EPS </t>
  </si>
  <si>
    <t xml:space="preserve">Diluted EPS </t>
  </si>
  <si>
    <t>DCF Period (approximate number of years)</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</si>
  <si>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</si>
  <si>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</si>
  <si>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</si>
  <si>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</si>
  <si>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</si>
  <si>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</si>
  <si>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</si>
  <si>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 xml:space="preserve">Net Cash and investments per share </t>
  </si>
  <si>
    <t>Days sales outstanding</t>
  </si>
  <si>
    <t>Payables turnover</t>
  </si>
  <si>
    <t>Share Count Analysis</t>
  </si>
  <si>
    <t>Net Cash from Operations growth rate (YoY)</t>
  </si>
  <si>
    <t>Revenue</t>
  </si>
  <si>
    <t>Total Revenue</t>
  </si>
  <si>
    <t>Operating expenses:</t>
  </si>
  <si>
    <t>Total operating income/(loss)</t>
  </si>
  <si>
    <t>Income/(loss) before income tax</t>
  </si>
  <si>
    <t>Deferred income taxes</t>
  </si>
  <si>
    <t>Other long-term assets</t>
  </si>
  <si>
    <t>Additional paid-in capital</t>
  </si>
  <si>
    <t xml:space="preserve">Depreciation and amortization </t>
  </si>
  <si>
    <t>Changes in operating assets and liabilities, net of the effects</t>
  </si>
  <si>
    <t>Depreciation &amp; amortization-to-average P&amp;E</t>
  </si>
  <si>
    <t>Prepaid expenses and other current assets</t>
  </si>
  <si>
    <t>Free Cash Flow to Firm (FCFF)</t>
  </si>
  <si>
    <t>Total Debt</t>
  </si>
  <si>
    <t xml:space="preserve">Cash and investments </t>
  </si>
  <si>
    <t xml:space="preserve">Adjusted net cash  per share </t>
  </si>
  <si>
    <t>Non-GAAP Adjustments</t>
  </si>
  <si>
    <t>Cash Flow Statement Ratios</t>
  </si>
  <si>
    <t>Capex to revenue</t>
  </si>
  <si>
    <t>Equity</t>
  </si>
  <si>
    <t>Share-based compensation to revenue</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</si>
  <si>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</si>
  <si>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</si>
  <si>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</si>
  <si>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</si>
  <si>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</si>
  <si>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</si>
  <si>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</si>
  <si>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</si>
  <si>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</si>
  <si>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</si>
  <si>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</si>
  <si>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</si>
  <si>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</si>
  <si>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</si>
  <si>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</si>
  <si>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</si>
  <si>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</si>
  <si>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r>
      <rPr>
        <b/>
        <sz val="11"/>
        <color theme="1"/>
        <rFont val="Calibri"/>
        <family val="2"/>
        <scheme val="minor"/>
      </rPr>
      <t>Last updated:</t>
    </r>
    <r>
      <rPr>
        <sz val="11"/>
        <color theme="1"/>
        <rFont val="Calibri"/>
        <family val="2"/>
        <scheme val="minor"/>
      </rPr>
      <t xml:space="preserve"> 2/14/2018</t>
    </r>
  </si>
  <si>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</si>
  <si>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</si>
  <si>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</si>
  <si>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</si>
  <si>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</si>
  <si>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</si>
  <si>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</si>
  <si>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</si>
  <si>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</si>
  <si>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</si>
  <si>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</si>
  <si>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</si>
  <si>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</si>
  <si>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</si>
  <si>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</si>
  <si>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</si>
  <si>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</si>
  <si>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</si>
  <si>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</si>
  <si>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</si>
  <si>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</si>
  <si>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</si>
  <si>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</si>
  <si>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</si>
  <si>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</si>
  <si>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</si>
  <si>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</si>
  <si>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</si>
  <si>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</si>
  <si>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</si>
  <si>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</si>
  <si>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</si>
  <si>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</si>
  <si>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</si>
  <si>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</si>
  <si>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</si>
  <si>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</si>
  <si>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</si>
  <si>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</si>
  <si>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</si>
  <si>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</si>
  <si>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</si>
  <si>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Facebook Balance Sheet</t>
  </si>
  <si>
    <t>Facebook Cash Flow Statement</t>
  </si>
  <si>
    <t>Sales by Geography</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</si>
  <si>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</si>
  <si>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</si>
  <si>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</si>
  <si>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</si>
  <si>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</si>
  <si>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</si>
  <si>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</si>
  <si>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</si>
  <si>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</si>
  <si>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</si>
  <si>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</si>
  <si>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</si>
  <si>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</si>
  <si>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U.S. and Canada ($)</t>
  </si>
  <si>
    <t>ARPU - Europe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</si>
  <si>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</si>
  <si>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</si>
  <si>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</si>
  <si>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</si>
  <si>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</si>
  <si>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</si>
  <si>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</si>
  <si>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</si>
  <si>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</si>
  <si>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</si>
  <si>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</si>
  <si>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</si>
  <si>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Lease abandonment</t>
  </si>
  <si>
    <t>Share-based compensation expense</t>
  </si>
  <si>
    <t>Tax benefit from share-based award activity</t>
  </si>
  <si>
    <t>Excess tax benefit from share-based award activity</t>
  </si>
  <si>
    <t>Other</t>
  </si>
  <si>
    <t>Accounts receivable</t>
  </si>
  <si>
    <t>Other assets</t>
  </si>
  <si>
    <t>Developer partners payable</t>
  </si>
  <si>
    <t>Accrued expenses and other current liabilities</t>
  </si>
  <si>
    <t>Deferred revenue and deposits</t>
  </si>
  <si>
    <t>Other liabilities</t>
  </si>
  <si>
    <t>Purchase of PPE</t>
  </si>
  <si>
    <t>Purchase and sale of securities (net)</t>
  </si>
  <si>
    <t>Payments made for acquisitions</t>
  </si>
  <si>
    <t>Other investing activities</t>
  </si>
  <si>
    <t>Taxes paid for net share settlement of equity awards</t>
  </si>
  <si>
    <t>Proceeds from exercise of stock options</t>
  </si>
  <si>
    <t>Principal payments on capital lease obligations</t>
  </si>
  <si>
    <t>Repurchase of common stock</t>
  </si>
  <si>
    <t>Other financing activities</t>
  </si>
  <si>
    <t>Cash and equivalents at end of period (BS)</t>
  </si>
  <si>
    <t>Effect of exchange rate changes &amp; restricted cash</t>
  </si>
  <si>
    <t>Restricted cash included in current and other assets</t>
  </si>
  <si>
    <t>Marketable securities</t>
  </si>
  <si>
    <t>Property and equipment, net</t>
  </si>
  <si>
    <t>Intangible assets, net</t>
  </si>
  <si>
    <t>Partners payable</t>
  </si>
  <si>
    <t xml:space="preserve">Accrued expenses and other current </t>
  </si>
  <si>
    <t>Accumulated other comprehensive loss</t>
  </si>
  <si>
    <t>Day Count (assume 90 days)</t>
  </si>
  <si>
    <t>Marketable securities as a percentage of assets</t>
  </si>
  <si>
    <t>Interest income as a % of investments and cash</t>
  </si>
  <si>
    <t>Growth in opex (YoY, inc cost of sales)</t>
  </si>
  <si>
    <t>FRED Graph Observations</t>
  </si>
  <si>
    <t>Federal Reserve Economic Data</t>
  </si>
  <si>
    <t>Link: https://fred.stlouisfed.org</t>
  </si>
  <si>
    <t>Help: https://fred.stlouisfed.org/help-faq</t>
  </si>
  <si>
    <t>Economic Research Division</t>
  </si>
  <si>
    <t>Federal Reserve Bank of St. Louis</t>
  </si>
  <si>
    <t>DEXUSEU</t>
  </si>
  <si>
    <t>U.S. / Euro Foreign Exchange Rate, U.S. Dollars to One Euro, Daily, Not Seasonally Adjusted</t>
  </si>
  <si>
    <t>Frequency: Daily</t>
  </si>
  <si>
    <t>observation_date</t>
  </si>
  <si>
    <t>https://fred.stlouisfed.org/series/DEXUSEU</t>
  </si>
  <si>
    <t>Revenue growth rate (GAAP, YoY)</t>
  </si>
  <si>
    <t>Revenue growth rate (GAAP, QoQ)</t>
  </si>
  <si>
    <t>Revenue growth YoY (2019 Constant Currency)</t>
  </si>
  <si>
    <t>Revenue growth QoQ (2019 Constant Currency)</t>
  </si>
  <si>
    <t>Revenue Constant Currency (Non-GAAP)</t>
  </si>
  <si>
    <t>Purple cells = Company guidance (updated 1/30/2019)</t>
  </si>
  <si>
    <t>1Q19E</t>
  </si>
  <si>
    <t>2Q19E</t>
  </si>
  <si>
    <t>3Q19E</t>
  </si>
  <si>
    <t>4Q19E</t>
  </si>
  <si>
    <t>2019E</t>
  </si>
  <si>
    <t xml:space="preserve">MAU - U.S. and Canada (M, left side of chart) </t>
  </si>
  <si>
    <t>ARPU - U.S. and Canada ($, right side of chart)</t>
  </si>
  <si>
    <t>MAU - Europe  (M, left side of chart)</t>
  </si>
  <si>
    <t>ARPU - Europe ($, right side of chart)</t>
  </si>
  <si>
    <t>Blue cells = Contributor estimates (last updated 2/10/2019)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</si>
</sst>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6" formatCode="0.00000"/>
    <numFmt numFmtId="227" formatCode="yyyy\-mm\-dd"/>
    <numFmt numFmtId="228" formatCode="0.0000"/>
  </numFmts>
  <fonts count="7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i/>
      <sz val="11"/>
      <color theme="1"/>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sz val="9"/>
      <color rgb="FF000000"/>
      <name val="Tahoma"/>
      <family val="2"/>
    </font>
    <font>
      <sz val="9"/>
      <color rgb="FF000000"/>
      <name val="Tahoma"/>
      <family val="2"/>
    </font>
  </fonts>
  <fills count="13">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s>
  <borders count="4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50">
    <xf numFmtId="0" fontId="0" fillId="0" borderId="0" xfId="0"/>
    <xf numFmtId="165" fontId="0" fillId="0" borderId="0" xfId="1" applyNumberFormat="1" applyFont="1"/>
    <xf numFmtId="164" fontId="4" fillId="0" borderId="0" xfId="1" applyNumberFormat="1" applyFont="1" applyAlignment="1">
      <alignment horizontal="right"/>
    </xf>
    <xf numFmtId="0" fontId="4" fillId="0" borderId="0" xfId="0" applyFont="1"/>
    <xf numFmtId="43" fontId="55" fillId="0" borderId="9" xfId="1" applyFont="1" applyBorder="1" applyAlignment="1">
      <alignment horizontal="right"/>
    </xf>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9" fontId="4" fillId="0" borderId="0" xfId="2" applyFont="1" applyAlignment="1">
      <alignment horizontal="right"/>
    </xf>
    <xf numFmtId="167" fontId="4" fillId="0" borderId="0" xfId="1" applyNumberFormat="1" applyFont="1" applyAlignment="1">
      <alignment horizontal="right"/>
    </xf>
    <xf numFmtId="43" fontId="4" fillId="0" borderId="0" xfId="1" applyFont="1"/>
    <xf numFmtId="165" fontId="4" fillId="0" borderId="0" xfId="0" applyNumberFormat="1" applyFont="1"/>
    <xf numFmtId="165" fontId="4" fillId="0" borderId="5" xfId="1" applyNumberFormat="1" applyFont="1" applyBorder="1" applyAlignment="1">
      <alignment horizontal="right"/>
    </xf>
    <xf numFmtId="0" fontId="55" fillId="0" borderId="0" xfId="0" applyFont="1" applyAlignment="1">
      <alignment horizontal="left"/>
    </xf>
    <xf numFmtId="164" fontId="57" fillId="0" borderId="0" xfId="1" quotePrefix="1" applyNumberFormat="1" applyFont="1" applyAlignment="1">
      <alignment horizontal="right"/>
    </xf>
    <xf numFmtId="164" fontId="57" fillId="0" borderId="5" xfId="1" quotePrefix="1" applyNumberFormat="1" applyFont="1" applyBorder="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5" fontId="4" fillId="0" borderId="29" xfId="1" applyNumberFormat="1" applyFont="1" applyBorder="1" applyAlignment="1">
      <alignment horizontal="right"/>
    </xf>
    <xf numFmtId="165" fontId="4" fillId="0" borderId="30" xfId="1" applyNumberFormat="1" applyFont="1" applyBorder="1" applyAlignment="1">
      <alignment horizontal="right"/>
    </xf>
    <xf numFmtId="166" fontId="4" fillId="0" borderId="5" xfId="2" quotePrefix="1" applyNumberFormat="1" applyFont="1" applyBorder="1" applyAlignment="1">
      <alignment horizontal="right"/>
    </xf>
    <xf numFmtId="0" fontId="58" fillId="0" borderId="4" xfId="0" applyFont="1" applyBorder="1" applyAlignment="1">
      <alignment horizontal="left"/>
    </xf>
    <xf numFmtId="164" fontId="4" fillId="0" borderId="5" xfId="1" quotePrefix="1" applyNumberFormat="1" applyFont="1" applyBorder="1" applyAlignment="1">
      <alignment horizontal="right"/>
    </xf>
    <xf numFmtId="164" fontId="4" fillId="0" borderId="0" xfId="1" applyNumberFormat="1" applyFont="1" applyAlignment="1">
      <alignment horizontal="left"/>
    </xf>
    <xf numFmtId="165" fontId="4" fillId="0" borderId="2" xfId="1" applyNumberFormat="1" applyFont="1" applyBorder="1" applyAlignment="1">
      <alignment horizontal="right"/>
    </xf>
    <xf numFmtId="9" fontId="4" fillId="0" borderId="5" xfId="2" quotePrefix="1" applyFont="1" applyBorder="1" applyAlignment="1">
      <alignment horizontal="right"/>
    </xf>
    <xf numFmtId="164" fontId="57" fillId="0" borderId="2" xfId="1" quotePrefix="1" applyNumberFormat="1" applyFont="1" applyBorder="1" applyAlignment="1">
      <alignment horizontal="right"/>
    </xf>
    <xf numFmtId="9" fontId="55" fillId="0" borderId="2" xfId="2" quotePrefix="1" applyFont="1" applyBorder="1" applyAlignment="1">
      <alignment horizontal="right"/>
    </xf>
    <xf numFmtId="164" fontId="54" fillId="3" borderId="0" xfId="1" quotePrefix="1" applyNumberFormat="1" applyFont="1" applyFill="1" applyAlignment="1">
      <alignment horizontal="right"/>
    </xf>
    <xf numFmtId="164" fontId="59" fillId="2" borderId="2" xfId="1" quotePrefix="1" applyNumberFormat="1" applyFont="1" applyFill="1" applyBorder="1" applyAlignment="1">
      <alignment horizontal="right"/>
    </xf>
    <xf numFmtId="164" fontId="60"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4" fillId="0" borderId="3" xfId="0" applyFont="1" applyBorder="1" applyAlignment="1">
      <alignment horizontal="left"/>
    </xf>
    <xf numFmtId="0" fontId="4" fillId="0" borderId="4" xfId="0" applyFont="1" applyBorder="1"/>
    <xf numFmtId="0" fontId="55" fillId="0" borderId="4" xfId="0" applyFont="1" applyBorder="1"/>
    <xf numFmtId="165" fontId="66" fillId="0" borderId="0" xfId="1" applyNumberFormat="1" applyFont="1" applyAlignment="1">
      <alignment horizontal="right"/>
    </xf>
    <xf numFmtId="165" fontId="66" fillId="0" borderId="5" xfId="1" applyNumberFormat="1" applyFont="1" applyBorder="1" applyAlignment="1">
      <alignment horizontal="right"/>
    </xf>
    <xf numFmtId="0" fontId="65"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5" fillId="0" borderId="0" xfId="0" applyFont="1"/>
    <xf numFmtId="165" fontId="65" fillId="0" borderId="0" xfId="1" applyNumberFormat="1" applyFont="1" applyAlignment="1">
      <alignment horizontal="right"/>
    </xf>
    <xf numFmtId="165" fontId="65" fillId="0" borderId="5" xfId="1" applyNumberFormat="1" applyFont="1" applyBorder="1" applyAlignment="1">
      <alignment horizontal="right"/>
    </xf>
    <xf numFmtId="0" fontId="63" fillId="0" borderId="0" xfId="0" applyFont="1"/>
    <xf numFmtId="43" fontId="65" fillId="0" borderId="0" xfId="1" applyFont="1" applyAlignment="1">
      <alignment horizontal="right"/>
    </xf>
    <xf numFmtId="43" fontId="65" fillId="0" borderId="5" xfId="1" applyFont="1" applyBorder="1" applyAlignment="1">
      <alignment horizontal="right"/>
    </xf>
    <xf numFmtId="43" fontId="63" fillId="0" borderId="0" xfId="1" applyFont="1" applyAlignment="1">
      <alignment horizontal="right"/>
    </xf>
    <xf numFmtId="0" fontId="63" fillId="0" borderId="0" xfId="0" applyFont="1" applyAlignment="1">
      <alignment horizontal="left"/>
    </xf>
    <xf numFmtId="0" fontId="63" fillId="0" borderId="3" xfId="0" applyFont="1" applyBorder="1" applyAlignment="1">
      <alignment horizontal="left" indent="1"/>
    </xf>
    <xf numFmtId="0" fontId="63" fillId="11" borderId="4" xfId="0" applyFont="1" applyFill="1" applyBorder="1" applyAlignment="1">
      <alignment horizontal="left"/>
    </xf>
    <xf numFmtId="165" fontId="63" fillId="0" borderId="0" xfId="1" quotePrefix="1" applyNumberFormat="1" applyFont="1" applyAlignment="1">
      <alignment horizontal="right"/>
    </xf>
    <xf numFmtId="165" fontId="65" fillId="0" borderId="7" xfId="1" applyNumberFormat="1" applyFont="1" applyBorder="1" applyAlignment="1">
      <alignment horizontal="right"/>
    </xf>
    <xf numFmtId="165" fontId="65" fillId="0" borderId="8" xfId="1" applyNumberFormat="1" applyFont="1" applyBorder="1" applyAlignment="1">
      <alignment horizontal="right"/>
    </xf>
    <xf numFmtId="166" fontId="63" fillId="0" borderId="0" xfId="2" quotePrefix="1" applyNumberFormat="1" applyFont="1" applyAlignment="1">
      <alignment horizontal="right"/>
    </xf>
    <xf numFmtId="165" fontId="63" fillId="0" borderId="5" xfId="1" quotePrefix="1" applyNumberFormat="1" applyFont="1" applyBorder="1" applyAlignment="1">
      <alignment horizontal="right"/>
    </xf>
    <xf numFmtId="0" fontId="68" fillId="0" borderId="4" xfId="0" applyFont="1" applyBorder="1" applyAlignment="1">
      <alignment horizontal="left"/>
    </xf>
    <xf numFmtId="0" fontId="63" fillId="11" borderId="3" xfId="0" applyFont="1" applyFill="1" applyBorder="1" applyAlignment="1">
      <alignment horizontal="left"/>
    </xf>
    <xf numFmtId="9" fontId="63" fillId="0" borderId="0" xfId="2" quotePrefix="1" applyFont="1" applyAlignment="1">
      <alignment horizontal="right"/>
    </xf>
    <xf numFmtId="165" fontId="69" fillId="0" borderId="5" xfId="1" quotePrefix="1" applyNumberFormat="1" applyFont="1" applyBorder="1" applyAlignment="1">
      <alignment horizontal="right"/>
    </xf>
    <xf numFmtId="165" fontId="69" fillId="0" borderId="0" xfId="2" applyNumberFormat="1" applyFont="1" applyAlignment="1">
      <alignment horizontal="right"/>
    </xf>
    <xf numFmtId="166" fontId="63" fillId="0" borderId="0" xfId="2" applyNumberFormat="1" applyFont="1" applyAlignment="1">
      <alignment horizontal="right"/>
    </xf>
    <xf numFmtId="0" fontId="70" fillId="0" borderId="0" xfId="0" applyFont="1"/>
    <xf numFmtId="9" fontId="63" fillId="0" borderId="5" xfId="2" applyFont="1" applyBorder="1" applyAlignment="1">
      <alignment horizontal="right"/>
    </xf>
    <xf numFmtId="166" fontId="63" fillId="0" borderId="5" xfId="2" applyNumberFormat="1" applyFont="1" applyBorder="1" applyAlignment="1">
      <alignment horizontal="right"/>
    </xf>
    <xf numFmtId="9" fontId="63" fillId="0" borderId="0" xfId="2" applyFont="1" applyAlignment="1">
      <alignment horizontal="right"/>
    </xf>
    <xf numFmtId="0" fontId="63" fillId="0" borderId="3" xfId="0" applyFont="1" applyBorder="1"/>
    <xf numFmtId="164" fontId="63" fillId="0" borderId="0" xfId="1" quotePrefix="1" applyNumberFormat="1" applyFont="1" applyAlignment="1">
      <alignment horizontal="right"/>
    </xf>
    <xf numFmtId="164" fontId="63" fillId="0" borderId="5" xfId="1" quotePrefix="1" applyNumberFormat="1" applyFont="1" applyBorder="1" applyAlignment="1">
      <alignment horizontal="right"/>
    </xf>
    <xf numFmtId="165" fontId="66" fillId="9" borderId="0" xfId="1" applyNumberFormat="1" applyFont="1" applyFill="1" applyAlignment="1">
      <alignment horizontal="right"/>
    </xf>
    <xf numFmtId="9" fontId="63" fillId="0" borderId="5" xfId="2" quotePrefix="1" applyFont="1" applyBorder="1" applyAlignment="1">
      <alignment horizontal="right"/>
    </xf>
    <xf numFmtId="165" fontId="63" fillId="9" borderId="0" xfId="1" applyNumberFormat="1" applyFont="1" applyFill="1" applyAlignment="1">
      <alignment horizontal="right"/>
    </xf>
    <xf numFmtId="9" fontId="63" fillId="9" borderId="0" xfId="2" applyFont="1" applyFill="1" applyAlignment="1">
      <alignment horizontal="right"/>
    </xf>
    <xf numFmtId="166" fontId="63" fillId="9" borderId="0" xfId="2" applyNumberFormat="1" applyFont="1" applyFill="1" applyAlignment="1">
      <alignment horizontal="right"/>
    </xf>
    <xf numFmtId="165" fontId="55" fillId="0" borderId="9" xfId="1" applyNumberFormat="1" applyFont="1" applyBorder="1" applyAlignment="1">
      <alignment horizontal="right"/>
    </xf>
    <xf numFmtId="0" fontId="67" fillId="0" borderId="23" xfId="0" applyFont="1" applyBorder="1" applyAlignment="1">
      <alignment horizontal="left"/>
    </xf>
    <xf numFmtId="7" fontId="63" fillId="0" borderId="0" xfId="1" applyNumberFormat="1" applyFont="1" applyAlignment="1">
      <alignment horizontal="right"/>
    </xf>
    <xf numFmtId="7" fontId="4" fillId="0" borderId="5" xfId="1" applyNumberFormat="1" applyFont="1" applyBorder="1" applyAlignment="1">
      <alignment horizontal="right"/>
    </xf>
    <xf numFmtId="7" fontId="63" fillId="9" borderId="0" xfId="1" applyNumberFormat="1" applyFont="1" applyFill="1" applyAlignment="1">
      <alignment horizontal="right"/>
    </xf>
    <xf numFmtId="41" fontId="63" fillId="0" borderId="0" xfId="1" quotePrefix="1" applyNumberFormat="1" applyFont="1" applyAlignment="1">
      <alignment horizontal="right"/>
    </xf>
    <xf numFmtId="7" fontId="63" fillId="0" borderId="5" xfId="1" applyNumberFormat="1" applyFont="1" applyBorder="1" applyAlignment="1">
      <alignment horizontal="right"/>
    </xf>
    <xf numFmtId="164" fontId="63" fillId="0" borderId="7" xfId="1" applyNumberFormat="1" applyFont="1" applyBorder="1" applyAlignment="1">
      <alignment horizontal="right"/>
    </xf>
    <xf numFmtId="165" fontId="63" fillId="0" borderId="29" xfId="1" applyNumberFormat="1" applyFont="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3" fillId="0" borderId="7" xfId="1" applyNumberFormat="1" applyFont="1" applyBorder="1" applyAlignment="1">
      <alignment horizontal="right"/>
    </xf>
    <xf numFmtId="165" fontId="63" fillId="0" borderId="8" xfId="1" applyNumberFormat="1" applyFont="1" applyBorder="1" applyAlignment="1">
      <alignment horizontal="right"/>
    </xf>
    <xf numFmtId="0" fontId="4" fillId="0" borderId="4" xfId="0" applyFont="1" applyBorder="1" applyAlignment="1">
      <alignment horizontal="left"/>
    </xf>
    <xf numFmtId="0" fontId="63" fillId="0" borderId="3" xfId="0" applyFont="1" applyBorder="1" applyAlignment="1">
      <alignment horizontal="left"/>
    </xf>
    <xf numFmtId="0" fontId="63" fillId="0" borderId="4" xfId="0" applyFont="1" applyBorder="1" applyAlignment="1">
      <alignment horizontal="left"/>
    </xf>
    <xf numFmtId="0" fontId="65" fillId="0" borderId="3" xfId="0" applyFont="1" applyBorder="1" applyAlignment="1">
      <alignment horizontal="left" indent="1"/>
    </xf>
    <xf numFmtId="0" fontId="65" fillId="0" borderId="4" xfId="0" applyFont="1" applyBorder="1" applyAlignment="1">
      <alignment horizontal="left" indent="1"/>
    </xf>
    <xf numFmtId="0" fontId="62" fillId="2" borderId="3" xfId="0" applyFont="1" applyFill="1" applyBorder="1" applyAlignment="1">
      <alignment horizontal="left"/>
    </xf>
    <xf numFmtId="0" fontId="67" fillId="11" borderId="4" xfId="0" applyFont="1" applyFill="1" applyBorder="1" applyAlignment="1">
      <alignment horizontal="left"/>
    </xf>
    <xf numFmtId="0" fontId="63" fillId="0" borderId="23" xfId="0" applyFont="1" applyBorder="1" applyAlignment="1">
      <alignment horizontal="left"/>
    </xf>
    <xf numFmtId="0" fontId="63" fillId="0" borderId="24"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3" fillId="0" borderId="3" xfId="0" applyFont="1" applyBorder="1" applyAlignment="1">
      <alignment horizontal="left" indent="2"/>
    </xf>
    <xf numFmtId="0" fontId="63" fillId="0" borderId="6" xfId="0" applyFont="1" applyBorder="1" applyAlignment="1">
      <alignment horizontal="left"/>
    </xf>
    <xf numFmtId="166" fontId="63" fillId="0" borderId="5" xfId="2" quotePrefix="1" applyNumberFormat="1" applyFont="1" applyBorder="1" applyAlignment="1">
      <alignment horizontal="right"/>
    </xf>
    <xf numFmtId="165" fontId="63" fillId="9" borderId="7" xfId="1" applyNumberFormat="1" applyFont="1" applyFill="1" applyBorder="1" applyAlignment="1">
      <alignment horizontal="right"/>
    </xf>
    <xf numFmtId="0" fontId="65" fillId="0" borderId="3" xfId="0" applyFont="1" applyBorder="1" applyAlignment="1">
      <alignment horizontal="left" indent="2"/>
    </xf>
    <xf numFmtId="165" fontId="65" fillId="11" borderId="0" xfId="1" applyNumberFormat="1" applyFont="1" applyFill="1" applyAlignment="1">
      <alignment horizontal="right"/>
    </xf>
    <xf numFmtId="165" fontId="65" fillId="11" borderId="5" xfId="1" applyNumberFormat="1" applyFont="1" applyFill="1" applyBorder="1" applyAlignment="1">
      <alignment horizontal="right"/>
    </xf>
    <xf numFmtId="165" fontId="63" fillId="0" borderId="30" xfId="1" applyNumberFormat="1" applyFont="1" applyBorder="1" applyAlignment="1">
      <alignment horizontal="right"/>
    </xf>
    <xf numFmtId="165" fontId="63" fillId="11" borderId="29" xfId="1" applyNumberFormat="1" applyFont="1" applyFill="1" applyBorder="1" applyAlignment="1">
      <alignment horizontal="right"/>
    </xf>
    <xf numFmtId="165" fontId="63" fillId="11" borderId="30" xfId="1" applyNumberFormat="1" applyFont="1" applyFill="1" applyBorder="1" applyAlignment="1">
      <alignment horizontal="right"/>
    </xf>
    <xf numFmtId="165" fontId="63" fillId="11" borderId="0" xfId="1" applyNumberFormat="1" applyFont="1" applyFill="1" applyAlignment="1">
      <alignment horizontal="right"/>
    </xf>
    <xf numFmtId="165" fontId="63" fillId="11" borderId="5" xfId="1" applyNumberFormat="1" applyFont="1" applyFill="1" applyBorder="1" applyAlignment="1">
      <alignment horizontal="right"/>
    </xf>
    <xf numFmtId="165" fontId="66" fillId="11" borderId="0" xfId="1" applyNumberFormat="1" applyFont="1" applyFill="1" applyAlignment="1">
      <alignment horizontal="right"/>
    </xf>
    <xf numFmtId="165" fontId="66" fillId="11" borderId="5" xfId="1" applyNumberFormat="1" applyFont="1" applyFill="1" applyBorder="1" applyAlignment="1">
      <alignment horizontal="right"/>
    </xf>
    <xf numFmtId="165" fontId="63" fillId="11" borderId="28" xfId="1" applyNumberFormat="1" applyFont="1" applyFill="1" applyBorder="1" applyAlignment="1">
      <alignment horizontal="right"/>
    </xf>
    <xf numFmtId="165" fontId="63" fillId="11" borderId="27" xfId="1" applyNumberFormat="1" applyFont="1" applyFill="1" applyBorder="1" applyAlignment="1">
      <alignment horizontal="right"/>
    </xf>
    <xf numFmtId="164" fontId="63" fillId="11" borderId="0" xfId="1" quotePrefix="1" applyNumberFormat="1" applyFont="1" applyFill="1" applyAlignment="1">
      <alignment horizontal="right"/>
    </xf>
    <xf numFmtId="43" fontId="63" fillId="11" borderId="0" xfId="1" quotePrefix="1" applyFont="1" applyFill="1" applyAlignment="1">
      <alignment horizontal="right"/>
    </xf>
    <xf numFmtId="164" fontId="63" fillId="11" borderId="5" xfId="1" quotePrefix="1" applyNumberFormat="1" applyFont="1" applyFill="1" applyBorder="1" applyAlignment="1">
      <alignment horizontal="right"/>
    </xf>
    <xf numFmtId="43" fontId="63" fillId="11" borderId="5" xfId="1" quotePrefix="1" applyFont="1" applyFill="1" applyBorder="1" applyAlignment="1">
      <alignment horizontal="right"/>
    </xf>
    <xf numFmtId="9" fontId="63" fillId="11" borderId="5" xfId="2" applyFont="1" applyFill="1" applyBorder="1" applyAlignment="1">
      <alignment horizontal="right"/>
    </xf>
    <xf numFmtId="164" fontId="59" fillId="2" borderId="31" xfId="1" quotePrefix="1" applyNumberFormat="1" applyFont="1" applyFill="1" applyBorder="1" applyAlignment="1">
      <alignment horizontal="right"/>
    </xf>
    <xf numFmtId="164" fontId="60" fillId="2" borderId="5" xfId="1" quotePrefix="1" applyNumberFormat="1" applyFont="1" applyFill="1" applyBorder="1" applyAlignment="1">
      <alignment horizontal="right"/>
    </xf>
    <xf numFmtId="0" fontId="4" fillId="0" borderId="10" xfId="0" applyFont="1" applyBorder="1" applyAlignment="1">
      <alignment horizontal="left"/>
    </xf>
    <xf numFmtId="164" fontId="2" fillId="3" borderId="31"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0" fontId="62" fillId="2" borderId="4" xfId="0" applyFont="1" applyFill="1" applyBorder="1" applyAlignment="1">
      <alignment horizontal="left"/>
    </xf>
    <xf numFmtId="166" fontId="69" fillId="0" borderId="0" xfId="2" applyNumberFormat="1" applyFont="1" applyAlignment="1">
      <alignment horizontal="right"/>
    </xf>
    <xf numFmtId="166" fontId="63" fillId="0" borderId="8" xfId="2" quotePrefix="1" applyNumberFormat="1" applyFont="1" applyBorder="1" applyAlignment="1">
      <alignment horizontal="right"/>
    </xf>
    <xf numFmtId="166" fontId="4" fillId="0" borderId="0" xfId="2" applyNumberFormat="1" applyFont="1" applyAlignment="1">
      <alignment horizontal="right"/>
    </xf>
    <xf numFmtId="165" fontId="63" fillId="0" borderId="4" xfId="1" applyNumberFormat="1" applyFont="1" applyBorder="1" applyAlignment="1">
      <alignment horizontal="right"/>
    </xf>
    <xf numFmtId="166" fontId="63" fillId="0" borderId="0" xfId="2" applyNumberFormat="1" applyFont="1"/>
    <xf numFmtId="164" fontId="6" fillId="2" borderId="32" xfId="1" quotePrefix="1" applyNumberFormat="1" applyFont="1" applyFill="1" applyBorder="1" applyAlignment="1">
      <alignment horizontal="center" vertical="center" wrapText="1"/>
    </xf>
    <xf numFmtId="0" fontId="0" fillId="0" borderId="39" xfId="0" applyBorder="1"/>
    <xf numFmtId="0" fontId="0" fillId="0" borderId="40" xfId="0" applyBorder="1"/>
    <xf numFmtId="0" fontId="0" fillId="0" borderId="37" xfId="0" applyBorder="1"/>
    <xf numFmtId="14" fontId="0" fillId="0" borderId="39" xfId="0" applyNumberFormat="1" applyBorder="1"/>
    <xf numFmtId="10" fontId="0" fillId="0" borderId="0" xfId="2" applyNumberFormat="1" applyFont="1"/>
    <xf numFmtId="10" fontId="0" fillId="0" borderId="0" xfId="0" applyNumberFormat="1"/>
    <xf numFmtId="14" fontId="0" fillId="0" borderId="36" xfId="0" applyNumberFormat="1" applyBorder="1"/>
    <xf numFmtId="10" fontId="0" fillId="0" borderId="37" xfId="0" applyNumberFormat="1" applyBorder="1"/>
    <xf numFmtId="0" fontId="0" fillId="0" borderId="34" xfId="0" applyBorder="1"/>
    <xf numFmtId="0" fontId="0" fillId="0" borderId="35" xfId="0" applyBorder="1"/>
    <xf numFmtId="0" fontId="2" fillId="0" borderId="0" xfId="0" applyFont="1" applyAlignment="1">
      <alignment horizontal="right"/>
    </xf>
    <xf numFmtId="0" fontId="2" fillId="0" borderId="40" xfId="0" applyFont="1" applyBorder="1"/>
    <xf numFmtId="0" fontId="0" fillId="12" borderId="0" xfId="0" applyFill="1"/>
    <xf numFmtId="0" fontId="2" fillId="12" borderId="0" xfId="0" applyFont="1" applyFill="1" applyAlignment="1">
      <alignment horizontal="right"/>
    </xf>
    <xf numFmtId="10" fontId="2" fillId="12" borderId="40" xfId="2" applyNumberFormat="1" applyFont="1" applyFill="1" applyBorder="1"/>
    <xf numFmtId="10" fontId="71" fillId="0" borderId="40" xfId="1" applyNumberFormat="1" applyFont="1" applyBorder="1"/>
    <xf numFmtId="0" fontId="71" fillId="0" borderId="0" xfId="0" applyFont="1" applyAlignment="1">
      <alignment horizontal="right"/>
    </xf>
    <xf numFmtId="226" fontId="0" fillId="0" borderId="40" xfId="0" applyNumberFormat="1" applyBorder="1"/>
    <xf numFmtId="226" fontId="0" fillId="0" borderId="38" xfId="0" applyNumberFormat="1" applyBorder="1"/>
    <xf numFmtId="0" fontId="72" fillId="0" borderId="0" xfId="0" applyFont="1"/>
    <xf numFmtId="165" fontId="72" fillId="0" borderId="0" xfId="1" applyNumberFormat="1" applyFont="1" applyAlignment="1">
      <alignment horizontal="right"/>
    </xf>
    <xf numFmtId="165" fontId="72" fillId="0" borderId="5" xfId="1" applyNumberFormat="1" applyFont="1" applyBorder="1" applyAlignment="1">
      <alignment horizontal="right"/>
    </xf>
    <xf numFmtId="226" fontId="2" fillId="0" borderId="40" xfId="0" applyNumberFormat="1" applyFont="1" applyBorder="1"/>
    <xf numFmtId="0" fontId="0" fillId="0" borderId="36" xfId="0" applyBorder="1"/>
    <xf numFmtId="0" fontId="2" fillId="0" borderId="37" xfId="0" applyFont="1" applyBorder="1" applyAlignment="1">
      <alignment horizontal="right"/>
    </xf>
    <xf numFmtId="10" fontId="2" fillId="0" borderId="38" xfId="2" applyNumberFormat="1" applyFont="1" applyBorder="1"/>
    <xf numFmtId="0" fontId="63" fillId="0" borderId="10" xfId="0" applyFont="1" applyBorder="1" applyAlignment="1">
      <alignment horizontal="left"/>
    </xf>
    <xf numFmtId="14" fontId="0" fillId="0" borderId="33" xfId="0" applyNumberFormat="1" applyBorder="1"/>
    <xf numFmtId="0" fontId="65" fillId="0" borderId="3" xfId="0" applyFont="1" applyBorder="1" applyAlignment="1">
      <alignment horizontal="left" indent="3"/>
    </xf>
    <xf numFmtId="0" fontId="55" fillId="0" borderId="0" xfId="0" applyFont="1" applyAlignment="1">
      <alignment horizontal="left" indent="1"/>
    </xf>
    <xf numFmtId="0" fontId="73" fillId="0" borderId="4" xfId="0" applyFont="1" applyBorder="1" applyAlignment="1">
      <alignment horizontal="left"/>
    </xf>
    <xf numFmtId="0" fontId="63" fillId="0" borderId="4" xfId="0" applyFont="1" applyBorder="1"/>
    <xf numFmtId="43" fontId="66" fillId="0" borderId="0" xfId="1" applyFont="1" applyAlignment="1">
      <alignment horizontal="right"/>
    </xf>
    <xf numFmtId="165" fontId="74" fillId="0" borderId="5" xfId="1" quotePrefix="1" applyNumberFormat="1" applyFont="1" applyBorder="1" applyAlignment="1">
      <alignment horizontal="right"/>
    </xf>
    <xf numFmtId="41" fontId="66" fillId="0" borderId="0" xfId="1" quotePrefix="1" applyNumberFormat="1" applyFont="1" applyAlignment="1">
      <alignment horizontal="right"/>
    </xf>
    <xf numFmtId="41" fontId="65" fillId="0" borderId="0" xfId="1" quotePrefix="1" applyNumberFormat="1" applyFont="1" applyAlignment="1">
      <alignment horizontal="left" indent="1"/>
    </xf>
    <xf numFmtId="164" fontId="63" fillId="0" borderId="8" xfId="1" applyNumberFormat="1" applyFont="1" applyBorder="1" applyAlignment="1">
      <alignment horizontal="right"/>
    </xf>
    <xf numFmtId="0" fontId="72" fillId="0" borderId="4" xfId="0" applyFont="1" applyBorder="1" applyAlignment="1">
      <alignment horizontal="left"/>
    </xf>
    <xf numFmtId="165" fontId="64" fillId="0" borderId="5" xfId="1" applyNumberFormat="1" applyFont="1" applyBorder="1" applyAlignment="1">
      <alignment horizontal="right"/>
    </xf>
    <xf numFmtId="165" fontId="63" fillId="0" borderId="10" xfId="1" applyNumberFormat="1" applyFont="1" applyBorder="1" applyAlignment="1">
      <alignment horizontal="right"/>
    </xf>
    <xf numFmtId="165" fontId="63" fillId="9" borderId="6" xfId="1" applyNumberFormat="1" applyFont="1" applyFill="1" applyBorder="1" applyAlignment="1">
      <alignment horizontal="right"/>
    </xf>
    <xf numFmtId="165" fontId="63" fillId="9" borderId="10" xfId="1" applyNumberFormat="1" applyFont="1" applyFill="1" applyBorder="1" applyAlignment="1">
      <alignment horizontal="right"/>
    </xf>
    <xf numFmtId="43" fontId="65" fillId="0" borderId="7" xfId="1" applyFont="1" applyBorder="1" applyAlignment="1">
      <alignment horizontal="right"/>
    </xf>
    <xf numFmtId="43" fontId="65" fillId="0" borderId="8" xfId="1" applyFont="1" applyBorder="1" applyAlignment="1">
      <alignment horizontal="right"/>
    </xf>
    <xf numFmtId="0" fontId="63" fillId="0" borderId="12" xfId="0" applyFont="1" applyBorder="1"/>
    <xf numFmtId="0" fontId="63" fillId="0" borderId="13" xfId="0" applyFont="1" applyBorder="1"/>
    <xf numFmtId="0" fontId="63" fillId="11" borderId="0" xfId="0" applyFont="1" applyFill="1" applyAlignment="1">
      <alignment horizontal="left"/>
    </xf>
    <xf numFmtId="0" fontId="63" fillId="11" borderId="27" xfId="1" applyNumberFormat="1" applyFont="1" applyFill="1" applyBorder="1" applyAlignment="1">
      <alignment horizontal="right"/>
    </xf>
    <xf numFmtId="166" fontId="63" fillId="11" borderId="7" xfId="2" quotePrefix="1" applyNumberFormat="1" applyFont="1" applyFill="1" applyBorder="1" applyAlignment="1">
      <alignment horizontal="right"/>
    </xf>
    <xf numFmtId="166" fontId="4" fillId="11" borderId="8" xfId="2" quotePrefix="1" applyNumberFormat="1" applyFont="1" applyFill="1" applyBorder="1" applyAlignment="1">
      <alignment horizontal="right"/>
    </xf>
    <xf numFmtId="9" fontId="63" fillId="11" borderId="0" xfId="2" applyFont="1" applyFill="1" applyAlignment="1">
      <alignment horizontal="right"/>
    </xf>
    <xf numFmtId="165" fontId="65" fillId="11" borderId="30" xfId="1" applyNumberFormat="1" applyFont="1" applyFill="1" applyBorder="1" applyAlignment="1">
      <alignment horizontal="right"/>
    </xf>
    <xf numFmtId="9" fontId="63" fillId="10" borderId="5" xfId="2" applyFont="1" applyFill="1" applyBorder="1" applyAlignment="1">
      <alignment horizontal="right"/>
    </xf>
    <xf numFmtId="166" fontId="63" fillId="10" borderId="5" xfId="2" applyNumberFormat="1" applyFont="1" applyFill="1" applyBorder="1" applyAlignment="1">
      <alignment horizontal="right"/>
    </xf>
    <xf numFmtId="0" fontId="3" fillId="0" borderId="0" xfId="331"/>
    <xf numFmtId="227" fontId="3" fillId="0" borderId="0" xfId="331" applyNumberFormat="1"/>
    <xf numFmtId="0" fontId="3" fillId="0" borderId="0" xfId="331" applyAlignment="1">
      <alignment horizontal="right"/>
    </xf>
    <xf numFmtId="228" fontId="3" fillId="0" borderId="0" xfId="331" applyNumberFormat="1"/>
    <xf numFmtId="0" fontId="53" fillId="0" borderId="0" xfId="329"/>
    <xf numFmtId="9" fontId="4" fillId="0" borderId="0" xfId="1" applyNumberFormat="1" applyFont="1"/>
    <xf numFmtId="165" fontId="63" fillId="0" borderId="0" xfId="2" applyNumberFormat="1" applyFont="1" applyAlignment="1">
      <alignment horizontal="right"/>
    </xf>
    <xf numFmtId="10" fontId="2" fillId="12" borderId="0" xfId="0" applyNumberFormat="1" applyFont="1" applyFill="1"/>
    <xf numFmtId="165" fontId="0" fillId="0" borderId="34" xfId="1" applyNumberFormat="1" applyFont="1" applyBorder="1"/>
    <xf numFmtId="10" fontId="0" fillId="0" borderId="34" xfId="2" applyNumberFormat="1" applyFont="1" applyBorder="1"/>
    <xf numFmtId="10" fontId="0" fillId="0" borderId="34" xfId="0" applyNumberFormat="1" applyBorder="1"/>
    <xf numFmtId="165" fontId="0" fillId="0" borderId="37" xfId="1" applyNumberFormat="1" applyFont="1" applyBorder="1"/>
    <xf numFmtId="10" fontId="0" fillId="0" borderId="37" xfId="2" applyNumberFormat="1" applyFont="1" applyBorder="1"/>
    <xf numFmtId="165" fontId="2" fillId="0" borderId="5" xfId="1" quotePrefix="1" applyNumberFormat="1"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5" fillId="11" borderId="3" xfId="0" applyFont="1" applyFill="1" applyBorder="1" applyAlignment="1">
      <alignment horizontal="left" indent="1"/>
    </xf>
    <xf numFmtId="0" fontId="65" fillId="11" borderId="4" xfId="0" applyFont="1" applyFill="1" applyBorder="1" applyAlignment="1">
      <alignment horizontal="left" indent="1"/>
    </xf>
    <xf numFmtId="0" fontId="63" fillId="11" borderId="3" xfId="0" applyFont="1" applyFill="1" applyBorder="1" applyAlignment="1">
      <alignment horizontal="left"/>
    </xf>
    <xf numFmtId="0" fontId="63" fillId="11" borderId="4" xfId="0" applyFont="1" applyFill="1" applyBorder="1" applyAlignment="1">
      <alignment horizontal="left"/>
    </xf>
    <xf numFmtId="0" fontId="67" fillId="11" borderId="23" xfId="0" applyFont="1" applyFill="1" applyBorder="1" applyAlignment="1">
      <alignment horizontal="left"/>
    </xf>
    <xf numFmtId="0" fontId="67" fillId="11" borderId="24" xfId="0" applyFont="1" applyFill="1" applyBorder="1" applyAlignment="1">
      <alignment horizontal="left"/>
    </xf>
    <xf numFmtId="0" fontId="61" fillId="2" borderId="1" xfId="0" applyFont="1" applyFill="1" applyBorder="1" applyAlignment="1">
      <alignment horizontal="left"/>
    </xf>
    <xf numFmtId="0" fontId="61" fillId="2" borderId="11" xfId="0" applyFont="1" applyFill="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3" fillId="0" borderId="3" xfId="3" applyFont="1" applyBorder="1" applyAlignment="1">
      <alignment horizontal="left" vertical="top"/>
    </xf>
    <xf numFmtId="0" fontId="63" fillId="0" borderId="4" xfId="3" applyFont="1" applyBorder="1" applyAlignment="1">
      <alignment horizontal="left" vertical="top"/>
    </xf>
    <xf numFmtId="0" fontId="63" fillId="9" borderId="1" xfId="0" applyFont="1" applyFill="1" applyBorder="1" applyAlignment="1">
      <alignment horizontal="left"/>
    </xf>
    <xf numFmtId="0" fontId="63" fillId="9" borderId="11" xfId="0" applyFont="1" applyFill="1" applyBorder="1" applyAlignment="1">
      <alignment horizontal="left"/>
    </xf>
    <xf numFmtId="0" fontId="62" fillId="2" borderId="3" xfId="0" applyFont="1" applyFill="1" applyBorder="1" applyAlignment="1">
      <alignment horizontal="left"/>
    </xf>
    <xf numFmtId="0" fontId="62" fillId="2" borderId="4" xfId="0" applyFont="1" applyFill="1" applyBorder="1" applyAlignment="1">
      <alignment horizontal="left"/>
    </xf>
    <xf numFmtId="0" fontId="65" fillId="0" borderId="6" xfId="0" applyFont="1" applyBorder="1" applyAlignment="1">
      <alignment horizontal="left" indent="1"/>
    </xf>
    <xf numFmtId="0" fontId="65" fillId="0" borderId="10" xfId="0" applyFont="1" applyBorder="1" applyAlignment="1">
      <alignment horizontal="left" indent="1"/>
    </xf>
    <xf numFmtId="0" fontId="65" fillId="0" borderId="3" xfId="0" applyFont="1" applyBorder="1" applyAlignment="1">
      <alignment horizontal="left" indent="1"/>
    </xf>
    <xf numFmtId="0" fontId="65" fillId="0" borderId="4" xfId="0" applyFont="1" applyBorder="1" applyAlignment="1">
      <alignment horizontal="left" indent="1"/>
    </xf>
    <xf numFmtId="0" fontId="65" fillId="0" borderId="3" xfId="0" applyFont="1" applyBorder="1" applyAlignment="1">
      <alignment horizontal="left" indent="3"/>
    </xf>
    <xf numFmtId="0" fontId="65" fillId="0" borderId="4" xfId="0" applyFont="1" applyBorder="1" applyAlignment="1">
      <alignment horizontal="left" indent="3"/>
    </xf>
    <xf numFmtId="0" fontId="63" fillId="0" borderId="25" xfId="0" applyFont="1" applyBorder="1" applyAlignment="1">
      <alignment horizontal="left" vertical="top" wrapText="1"/>
    </xf>
    <xf numFmtId="0" fontId="63" fillId="0" borderId="26" xfId="0" applyFont="1" applyBorder="1" applyAlignment="1">
      <alignment horizontal="left" vertical="top" wrapText="1"/>
    </xf>
    <xf numFmtId="0" fontId="63" fillId="11" borderId="6" xfId="0" applyFont="1" applyFill="1" applyBorder="1" applyAlignment="1">
      <alignment horizontal="left"/>
    </xf>
    <xf numFmtId="0" fontId="63" fillId="11" borderId="10" xfId="0" applyFont="1" applyFill="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xf>
    <xf numFmtId="0" fontId="4" fillId="0" borderId="2" xfId="0" applyFont="1" applyBorder="1" applyAlignment="1">
      <alignment horizontal="left"/>
    </xf>
    <xf numFmtId="0" fontId="63" fillId="11" borderId="12" xfId="0" applyFont="1" applyFill="1" applyBorder="1" applyAlignment="1">
      <alignment horizontal="left"/>
    </xf>
    <xf numFmtId="0" fontId="63" fillId="11" borderId="13" xfId="0" applyFont="1" applyFill="1" applyBorder="1" applyAlignment="1">
      <alignment horizontal="left"/>
    </xf>
    <xf numFmtId="0" fontId="63" fillId="11" borderId="23" xfId="0" applyFont="1" applyFill="1" applyBorder="1" applyAlignment="1">
      <alignment horizontal="left"/>
    </xf>
    <xf numFmtId="0" fontId="63" fillId="11" borderId="24" xfId="0" applyFont="1" applyFill="1" applyBorder="1" applyAlignment="1">
      <alignment horizontal="left"/>
    </xf>
    <xf numFmtId="0" fontId="63" fillId="0" borderId="6" xfId="0" applyFont="1" applyBorder="1" applyAlignment="1">
      <alignment horizontal="left"/>
    </xf>
    <xf numFmtId="0" fontId="63" fillId="0" borderId="10"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5" fillId="11" borderId="3" xfId="0" applyFont="1" applyFill="1" applyBorder="1" applyAlignment="1">
      <alignment horizontal="left" indent="2"/>
    </xf>
    <xf numFmtId="0" fontId="65" fillId="11" borderId="4" xfId="0" applyFont="1" applyFill="1" applyBorder="1" applyAlignment="1">
      <alignment horizontal="left" indent="2"/>
    </xf>
    <xf numFmtId="0" fontId="65" fillId="0" borderId="6" xfId="0" applyFont="1" applyBorder="1" applyAlignment="1">
      <alignment horizontal="left" indent="2"/>
    </xf>
    <xf numFmtId="0" fontId="65" fillId="0" borderId="10" xfId="0" applyFont="1" applyBorder="1" applyAlignment="1">
      <alignment horizontal="left" indent="2"/>
    </xf>
    <xf numFmtId="0" fontId="67" fillId="0" borderId="23" xfId="0" applyFont="1" applyBorder="1" applyAlignment="1">
      <alignment horizontal="left"/>
    </xf>
    <xf numFmtId="0" fontId="67" fillId="0" borderId="24" xfId="0" applyFont="1" applyBorder="1" applyAlignment="1">
      <alignment horizontal="left"/>
    </xf>
    <xf numFmtId="0" fontId="63" fillId="10" borderId="6" xfId="0" applyFont="1" applyFill="1" applyBorder="1" applyAlignment="1">
      <alignment horizontal="left"/>
    </xf>
    <xf numFmtId="0" fontId="63" fillId="10" borderId="10" xfId="0" applyFont="1" applyFill="1" applyBorder="1" applyAlignment="1">
      <alignment horizontal="left"/>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236802</xdr:colOff>
      <xdr:row>86</xdr:row>
      <xdr:rowOff>0</xdr:rowOff>
    </xdr:from>
    <xdr:to>
      <xdr:col>5</xdr:col>
      <xdr:colOff>718343</xdr:colOff>
      <xdr:row>86</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236802</xdr:colOff>
      <xdr:row>125</xdr:row>
      <xdr:rowOff>0</xdr:rowOff>
    </xdr:from>
    <xdr:to>
      <xdr:col>5</xdr:col>
      <xdr:colOff>718343</xdr:colOff>
      <xdr:row>125</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236802</xdr:colOff>
      <xdr:row>174</xdr:row>
      <xdr:rowOff>0</xdr:rowOff>
    </xdr:from>
    <xdr:to>
      <xdr:col>5</xdr:col>
      <xdr:colOff>718343</xdr:colOff>
      <xdr:row>174</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236802</xdr:colOff>
      <xdr:row>28</xdr:row>
      <xdr:rowOff>0</xdr:rowOff>
    </xdr:from>
    <xdr:to>
      <xdr:col>5</xdr:col>
      <xdr:colOff>718343</xdr:colOff>
      <xdr:row>28</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236802</xdr:colOff>
      <xdr:row>115</xdr:row>
      <xdr:rowOff>0</xdr:rowOff>
    </xdr:from>
    <xdr:to>
      <xdr:col>5</xdr:col>
      <xdr:colOff>718343</xdr:colOff>
      <xdr:row>115</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hyperlink" Target="https://fred.stlouisfed.org/series/DEXUSE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X180"/>
  <sheetViews>
    <sheetView showGridLines="0" tabSelected="1" zoomScaleNormal="100" workbookViewId="0">
      <pane xSplit="1" topLeftCell="B1" activePane="topRight" state="frozen"/>
      <selection pane="topRight" activeCell="A2" sqref="A2:B2"/>
    </sheetView>
  </sheetViews>
  <sheetFormatPr defaultColWidth="8.77734375" defaultRowHeight="14.4" outlineLevelRow="1" outlineLevelCol="1" x14ac:dyDescent="0.3"/>
  <cols>
    <col min="1" max="1" width="37.77734375" style="3" customWidth="1"/>
    <col min="2" max="2" width="17" style="3" customWidth="1"/>
    <col min="3" max="4" width="11.44140625" style="2" hidden="1" customWidth="1" outlineLevel="1"/>
    <col min="5" max="6" width="11.44140625" style="5" hidden="1" customWidth="1" outlineLevel="1"/>
    <col min="7" max="7" width="11.44140625" style="5" customWidth="1" collapsed="1"/>
    <col min="8" max="9" width="11.44140625" style="2" hidden="1" customWidth="1" outlineLevel="1"/>
    <col min="10" max="11" width="11.44140625" style="5" hidden="1" customWidth="1" outlineLevel="1"/>
    <col min="12" max="12" width="11.44140625" style="5" customWidth="1" collapsed="1"/>
    <col min="13" max="14" width="11.44140625" style="2" customWidth="1" outlineLevel="1"/>
    <col min="15" max="16" width="11.44140625" style="5" customWidth="1" outlineLevel="1"/>
    <col min="17" max="17" width="11.44140625" style="5" customWidth="1"/>
    <col min="18" max="19" width="11.44140625" style="2" customWidth="1" outlineLevel="1"/>
    <col min="20" max="21" width="11.44140625" style="5" customWidth="1" outlineLevel="1"/>
    <col min="22" max="22" width="11.44140625" style="5" customWidth="1"/>
    <col min="23" max="25" width="8.77734375" style="3"/>
    <col min="26" max="26" width="10.44140625" style="3" bestFit="1" customWidth="1"/>
    <col min="27" max="16384" width="8.77734375" style="3"/>
  </cols>
  <sheetData>
    <row r="1" spans="1:50" ht="9" customHeight="1" x14ac:dyDescent="0.3"/>
    <row r="2" spans="1:50" ht="45" customHeight="1" x14ac:dyDescent="0.3">
      <c r="A2" s="227" t="s">
        <v>44</v>
      </c>
      <c r="B2" s="228"/>
      <c r="J2" s="6"/>
    </row>
    <row r="3" spans="1:50" x14ac:dyDescent="0.3">
      <c r="A3" s="217" t="s">
        <v>223</v>
      </c>
      <c r="B3" s="218"/>
      <c r="C3" s="7"/>
      <c r="F3" s="8"/>
      <c r="G3" s="8"/>
    </row>
    <row r="4" spans="1:50" x14ac:dyDescent="0.3">
      <c r="A4" s="248" t="s">
        <v>213</v>
      </c>
      <c r="B4" s="249"/>
      <c r="C4" s="7"/>
      <c r="F4" s="8"/>
      <c r="G4" s="8"/>
      <c r="AX4" s="3" t="s">
        <v>45</v>
      </c>
    </row>
    <row r="5" spans="1:50" ht="8.25" customHeight="1" x14ac:dyDescent="0.3">
      <c r="C5" s="11"/>
      <c r="D5" s="11"/>
      <c r="E5" s="11"/>
      <c r="F5" s="11"/>
      <c r="G5" s="12"/>
      <c r="H5" s="11"/>
      <c r="I5" s="11"/>
      <c r="J5" s="11"/>
      <c r="K5" s="11"/>
      <c r="L5" s="11"/>
      <c r="M5" s="11"/>
      <c r="N5" s="11"/>
      <c r="O5" s="11"/>
      <c r="P5" s="11"/>
      <c r="Q5" s="11"/>
      <c r="R5" s="194"/>
      <c r="S5" s="194"/>
      <c r="T5" s="194"/>
      <c r="U5" s="194"/>
      <c r="V5" s="131"/>
    </row>
    <row r="6" spans="1:50" ht="15.6" x14ac:dyDescent="0.3">
      <c r="A6" s="211" t="s">
        <v>133</v>
      </c>
      <c r="B6" s="212"/>
      <c r="C6" s="32" t="s">
        <v>112</v>
      </c>
      <c r="D6" s="32" t="s">
        <v>113</v>
      </c>
      <c r="E6" s="32" t="s">
        <v>114</v>
      </c>
      <c r="F6" s="32" t="s">
        <v>115</v>
      </c>
      <c r="G6" s="123" t="s">
        <v>115</v>
      </c>
      <c r="H6" s="32" t="s">
        <v>99</v>
      </c>
      <c r="I6" s="32" t="s">
        <v>104</v>
      </c>
      <c r="J6" s="32" t="s">
        <v>105</v>
      </c>
      <c r="K6" s="32" t="s">
        <v>106</v>
      </c>
      <c r="L6" s="123" t="s">
        <v>106</v>
      </c>
      <c r="M6" s="32" t="s">
        <v>101</v>
      </c>
      <c r="N6" s="32" t="s">
        <v>100</v>
      </c>
      <c r="O6" s="32" t="s">
        <v>102</v>
      </c>
      <c r="P6" s="32" t="s">
        <v>103</v>
      </c>
      <c r="Q6" s="123" t="s">
        <v>103</v>
      </c>
      <c r="R6" s="34" t="s">
        <v>121</v>
      </c>
      <c r="S6" s="34" t="s">
        <v>122</v>
      </c>
      <c r="T6" s="34" t="s">
        <v>123</v>
      </c>
      <c r="U6" s="34" t="s">
        <v>124</v>
      </c>
      <c r="V6" s="126" t="s">
        <v>124</v>
      </c>
    </row>
    <row r="7" spans="1:50" ht="17.55" customHeight="1" x14ac:dyDescent="0.45">
      <c r="A7" s="219" t="s">
        <v>3</v>
      </c>
      <c r="B7" s="220"/>
      <c r="C7" s="33" t="s">
        <v>116</v>
      </c>
      <c r="D7" s="33" t="s">
        <v>117</v>
      </c>
      <c r="E7" s="33" t="s">
        <v>118</v>
      </c>
      <c r="F7" s="33" t="s">
        <v>119</v>
      </c>
      <c r="G7" s="124" t="s">
        <v>120</v>
      </c>
      <c r="H7" s="33" t="s">
        <v>107</v>
      </c>
      <c r="I7" s="33" t="s">
        <v>108</v>
      </c>
      <c r="J7" s="33" t="s">
        <v>109</v>
      </c>
      <c r="K7" s="33" t="s">
        <v>110</v>
      </c>
      <c r="L7" s="124" t="s">
        <v>111</v>
      </c>
      <c r="M7" s="33" t="s">
        <v>98</v>
      </c>
      <c r="N7" s="33" t="s">
        <v>97</v>
      </c>
      <c r="O7" s="33" t="s">
        <v>96</v>
      </c>
      <c r="P7" s="33" t="s">
        <v>95</v>
      </c>
      <c r="Q7" s="124" t="s">
        <v>94</v>
      </c>
      <c r="R7" s="31" t="s">
        <v>214</v>
      </c>
      <c r="S7" s="31" t="s">
        <v>215</v>
      </c>
      <c r="T7" s="31" t="s">
        <v>216</v>
      </c>
      <c r="U7" s="31" t="s">
        <v>217</v>
      </c>
      <c r="V7" s="127" t="s">
        <v>218</v>
      </c>
    </row>
    <row r="8" spans="1:50" x14ac:dyDescent="0.3">
      <c r="A8" s="203" t="s">
        <v>53</v>
      </c>
      <c r="B8" s="204"/>
      <c r="C8" s="35">
        <v>5382</v>
      </c>
      <c r="D8" s="35">
        <v>6436</v>
      </c>
      <c r="E8" s="35">
        <v>7011</v>
      </c>
      <c r="F8" s="35">
        <v>8809</v>
      </c>
      <c r="G8" s="36">
        <f>SUM(C8:F8)</f>
        <v>27638</v>
      </c>
      <c r="H8" s="35">
        <v>8032</v>
      </c>
      <c r="I8" s="35">
        <v>9321</v>
      </c>
      <c r="J8" s="35">
        <v>10328</v>
      </c>
      <c r="K8" s="35">
        <v>12972</v>
      </c>
      <c r="L8" s="36">
        <f>SUM(H8:K8)</f>
        <v>40653</v>
      </c>
      <c r="M8" s="35">
        <v>11966</v>
      </c>
      <c r="N8" s="35">
        <v>13231</v>
      </c>
      <c r="O8" s="35">
        <v>13727</v>
      </c>
      <c r="P8" s="35">
        <v>16914</v>
      </c>
      <c r="Q8" s="36">
        <f>SUM(M8:P8)</f>
        <v>55838</v>
      </c>
      <c r="R8" s="35">
        <f>+R35</f>
        <v>15167.243538048229</v>
      </c>
      <c r="S8" s="35">
        <f t="shared" ref="S8:U8" si="0">+S35</f>
        <v>16507.443214796236</v>
      </c>
      <c r="T8" s="35">
        <f t="shared" si="0"/>
        <v>16940.250870981385</v>
      </c>
      <c r="U8" s="35">
        <f t="shared" si="0"/>
        <v>20482.466889086587</v>
      </c>
      <c r="V8" s="36">
        <f>SUM(R8:U8)</f>
        <v>69097.404512912442</v>
      </c>
    </row>
    <row r="9" spans="1:50" ht="16.2" x14ac:dyDescent="0.45">
      <c r="A9" s="92" t="s">
        <v>126</v>
      </c>
      <c r="B9" s="93"/>
      <c r="C9" s="40">
        <v>838</v>
      </c>
      <c r="D9" s="40">
        <v>916</v>
      </c>
      <c r="E9" s="40">
        <v>987</v>
      </c>
      <c r="F9" s="40">
        <v>1048</v>
      </c>
      <c r="G9" s="41">
        <f>SUM(C9:F9)</f>
        <v>3789</v>
      </c>
      <c r="H9" s="40">
        <v>1159</v>
      </c>
      <c r="I9" s="40">
        <v>1237</v>
      </c>
      <c r="J9" s="40">
        <v>1448</v>
      </c>
      <c r="K9" s="40">
        <v>1611</v>
      </c>
      <c r="L9" s="41">
        <f>SUM(H9:K9)</f>
        <v>5455</v>
      </c>
      <c r="M9" s="40">
        <v>1927</v>
      </c>
      <c r="N9" s="40">
        <v>2214</v>
      </c>
      <c r="O9" s="40">
        <v>2418</v>
      </c>
      <c r="P9" s="40">
        <v>2796</v>
      </c>
      <c r="Q9" s="41">
        <f>SUM(M9:P9)</f>
        <v>9355</v>
      </c>
      <c r="R9" s="40">
        <f>+R8*(1-R64)</f>
        <v>2890.8766183519924</v>
      </c>
      <c r="S9" s="40">
        <f>+S8*(1-S64)</f>
        <v>3194.1902620630717</v>
      </c>
      <c r="T9" s="40">
        <f>+T8*(1-T64)</f>
        <v>3372.8039484123947</v>
      </c>
      <c r="U9" s="40">
        <f>+U8*(1-U64)</f>
        <v>3912.151175815537</v>
      </c>
      <c r="V9" s="41">
        <f>SUM(R9:U9)</f>
        <v>13370.022004642997</v>
      </c>
    </row>
    <row r="10" spans="1:50" s="19" customFormat="1" x14ac:dyDescent="0.3">
      <c r="A10" s="100" t="s">
        <v>125</v>
      </c>
      <c r="B10" s="101"/>
      <c r="C10" s="46">
        <f>+C8-C9</f>
        <v>4544</v>
      </c>
      <c r="D10" s="46">
        <f t="shared" ref="D10:F10" si="1">+D8-D9</f>
        <v>5520</v>
      </c>
      <c r="E10" s="46">
        <f t="shared" si="1"/>
        <v>6024</v>
      </c>
      <c r="F10" s="46">
        <f t="shared" si="1"/>
        <v>7761</v>
      </c>
      <c r="G10" s="47">
        <f>+G8-G9</f>
        <v>23849</v>
      </c>
      <c r="H10" s="46">
        <f>+H8-H9</f>
        <v>6873</v>
      </c>
      <c r="I10" s="46">
        <f t="shared" ref="I10" si="2">+I8-I9</f>
        <v>8084</v>
      </c>
      <c r="J10" s="46">
        <f t="shared" ref="J10" si="3">+J8-J9</f>
        <v>8880</v>
      </c>
      <c r="K10" s="46">
        <f t="shared" ref="K10" si="4">+K8-K9</f>
        <v>11361</v>
      </c>
      <c r="L10" s="47">
        <f>+L8-L9</f>
        <v>35198</v>
      </c>
      <c r="M10" s="46">
        <f>+M8-M9</f>
        <v>10039</v>
      </c>
      <c r="N10" s="46">
        <f t="shared" ref="N10" si="5">+N8-N9</f>
        <v>11017</v>
      </c>
      <c r="O10" s="46">
        <f t="shared" ref="O10" si="6">+O8-O9</f>
        <v>11309</v>
      </c>
      <c r="P10" s="46">
        <f t="shared" ref="P10" si="7">+P8-P9</f>
        <v>14118</v>
      </c>
      <c r="Q10" s="47">
        <f>+Q8-Q9</f>
        <v>46483</v>
      </c>
      <c r="R10" s="46">
        <f>+R8-R9</f>
        <v>12276.366919696236</v>
      </c>
      <c r="S10" s="46">
        <f t="shared" ref="S10" si="8">+S8-S9</f>
        <v>13313.252952733164</v>
      </c>
      <c r="T10" s="46">
        <f t="shared" ref="T10" si="9">+T8-T9</f>
        <v>13567.44692256899</v>
      </c>
      <c r="U10" s="46">
        <f t="shared" ref="U10" si="10">+U8-U9</f>
        <v>16570.315713271051</v>
      </c>
      <c r="V10" s="47">
        <f>+V8-V9</f>
        <v>55727.382508269446</v>
      </c>
    </row>
    <row r="11" spans="1:50" x14ac:dyDescent="0.3">
      <c r="A11" s="37" t="s">
        <v>55</v>
      </c>
      <c r="B11" s="93"/>
      <c r="C11" s="8"/>
      <c r="D11" s="8"/>
      <c r="E11" s="8"/>
      <c r="F11" s="8"/>
      <c r="G11" s="36"/>
      <c r="H11" s="8"/>
      <c r="I11" s="8"/>
      <c r="J11" s="8"/>
      <c r="K11" s="8"/>
      <c r="L11" s="36"/>
      <c r="M11" s="8"/>
      <c r="N11" s="8"/>
      <c r="O11" s="8"/>
      <c r="P11" s="8"/>
      <c r="Q11" s="36"/>
      <c r="R11" s="8"/>
      <c r="S11" s="8"/>
      <c r="T11" s="8"/>
      <c r="U11" s="8"/>
      <c r="V11" s="36"/>
    </row>
    <row r="12" spans="1:50" x14ac:dyDescent="0.3">
      <c r="A12" s="102" t="s">
        <v>127</v>
      </c>
      <c r="B12" s="38"/>
      <c r="C12" s="35">
        <v>1343</v>
      </c>
      <c r="D12" s="35">
        <v>1463</v>
      </c>
      <c r="E12" s="35">
        <v>1539</v>
      </c>
      <c r="F12" s="35">
        <f>5919-E12-D12-C12</f>
        <v>1574</v>
      </c>
      <c r="G12" s="36">
        <f t="shared" ref="G12:G14" si="11">SUM(C12:F12)</f>
        <v>5919</v>
      </c>
      <c r="H12" s="35">
        <v>1834</v>
      </c>
      <c r="I12" s="35">
        <v>1919</v>
      </c>
      <c r="J12" s="35">
        <v>2052</v>
      </c>
      <c r="K12" s="35">
        <v>1949</v>
      </c>
      <c r="L12" s="36">
        <f t="shared" ref="L12:L14" si="12">SUM(H12:K12)</f>
        <v>7754</v>
      </c>
      <c r="M12" s="35">
        <v>2238</v>
      </c>
      <c r="N12" s="35">
        <v>2523</v>
      </c>
      <c r="O12" s="35">
        <v>2657</v>
      </c>
      <c r="P12" s="35">
        <v>2855</v>
      </c>
      <c r="Q12" s="36">
        <f t="shared" ref="Q12:Q14" si="13">SUM(M12:P12)</f>
        <v>10273</v>
      </c>
      <c r="R12" s="35">
        <f>+R8*R65</f>
        <v>2957.6124899194047</v>
      </c>
      <c r="S12" s="35">
        <f>+S8*S65</f>
        <v>3131.0195878958998</v>
      </c>
      <c r="T12" s="35">
        <f>+T8*T65</f>
        <v>3414.9319655687568</v>
      </c>
      <c r="U12" s="35">
        <f>+U8*U65</f>
        <v>4198.9057122627501</v>
      </c>
      <c r="V12" s="36">
        <f t="shared" ref="V12:V14" si="14">SUM(R12:U12)</f>
        <v>13702.469755646809</v>
      </c>
    </row>
    <row r="13" spans="1:50" x14ac:dyDescent="0.3">
      <c r="A13" s="102" t="s">
        <v>128</v>
      </c>
      <c r="B13" s="38"/>
      <c r="C13" s="35">
        <v>826</v>
      </c>
      <c r="D13" s="35">
        <v>899</v>
      </c>
      <c r="E13" s="35">
        <v>925</v>
      </c>
      <c r="F13" s="35">
        <f>3772-E13-D13-C13</f>
        <v>1122</v>
      </c>
      <c r="G13" s="36">
        <f t="shared" si="11"/>
        <v>3772</v>
      </c>
      <c r="H13" s="35">
        <v>1057</v>
      </c>
      <c r="I13" s="35">
        <v>1124</v>
      </c>
      <c r="J13" s="35">
        <v>1170</v>
      </c>
      <c r="K13" s="35">
        <v>1374</v>
      </c>
      <c r="L13" s="36">
        <f t="shared" si="12"/>
        <v>4725</v>
      </c>
      <c r="M13" s="35">
        <v>1595</v>
      </c>
      <c r="N13" s="35">
        <v>1855</v>
      </c>
      <c r="O13" s="35">
        <v>1928</v>
      </c>
      <c r="P13" s="35">
        <v>2467</v>
      </c>
      <c r="Q13" s="36">
        <f t="shared" si="13"/>
        <v>7845</v>
      </c>
      <c r="R13" s="35">
        <f>+R8*R66</f>
        <v>2730.1038368486811</v>
      </c>
      <c r="S13" s="35">
        <f>+S8*S66</f>
        <v>2806.2653465153603</v>
      </c>
      <c r="T13" s="35">
        <f>+T8*T66</f>
        <v>2879.8426480668354</v>
      </c>
      <c r="U13" s="35">
        <f>+U8*U66</f>
        <v>3686.8440400355853</v>
      </c>
      <c r="V13" s="36">
        <f t="shared" si="14"/>
        <v>12103.055871466462</v>
      </c>
    </row>
    <row r="14" spans="1:50" ht="17.25" customHeight="1" x14ac:dyDescent="0.45">
      <c r="A14" s="102" t="s">
        <v>129</v>
      </c>
      <c r="B14" s="38"/>
      <c r="C14" s="40">
        <v>366</v>
      </c>
      <c r="D14" s="40">
        <v>412</v>
      </c>
      <c r="E14" s="40">
        <v>438</v>
      </c>
      <c r="F14" s="40">
        <f>1731-E14-D14-C14</f>
        <v>515</v>
      </c>
      <c r="G14" s="41">
        <f t="shared" si="11"/>
        <v>1731</v>
      </c>
      <c r="H14" s="40">
        <v>655</v>
      </c>
      <c r="I14" s="40">
        <v>640</v>
      </c>
      <c r="J14" s="40">
        <v>536</v>
      </c>
      <c r="K14" s="40">
        <v>686</v>
      </c>
      <c r="L14" s="41">
        <f t="shared" si="12"/>
        <v>2517</v>
      </c>
      <c r="M14" s="40">
        <v>757</v>
      </c>
      <c r="N14" s="40">
        <v>776</v>
      </c>
      <c r="O14" s="40">
        <v>943</v>
      </c>
      <c r="P14" s="40">
        <v>976</v>
      </c>
      <c r="Q14" s="41">
        <f t="shared" si="13"/>
        <v>3452</v>
      </c>
      <c r="R14" s="40">
        <f>R8*R67</f>
        <v>1061.7070476633762</v>
      </c>
      <c r="S14" s="40">
        <f>S8*S67</f>
        <v>1320.595457183699</v>
      </c>
      <c r="T14" s="40">
        <f>T8*T67</f>
        <v>1355.2200696785108</v>
      </c>
      <c r="U14" s="40">
        <f>U8*U67</f>
        <v>1535.3941016474853</v>
      </c>
      <c r="V14" s="41">
        <f t="shared" si="14"/>
        <v>5272.9166761730712</v>
      </c>
    </row>
    <row r="15" spans="1:50" s="45" customFormat="1" ht="17.25" customHeight="1" x14ac:dyDescent="0.45">
      <c r="A15" s="163" t="s">
        <v>41</v>
      </c>
      <c r="B15" s="42"/>
      <c r="C15" s="43">
        <f t="shared" ref="C15:V15" si="15">SUM(C12:C14)</f>
        <v>2535</v>
      </c>
      <c r="D15" s="43">
        <f t="shared" si="15"/>
        <v>2774</v>
      </c>
      <c r="E15" s="43">
        <f t="shared" si="15"/>
        <v>2902</v>
      </c>
      <c r="F15" s="43">
        <f t="shared" si="15"/>
        <v>3211</v>
      </c>
      <c r="G15" s="44">
        <f t="shared" si="15"/>
        <v>11422</v>
      </c>
      <c r="H15" s="43">
        <f t="shared" si="15"/>
        <v>3546</v>
      </c>
      <c r="I15" s="43">
        <f t="shared" si="15"/>
        <v>3683</v>
      </c>
      <c r="J15" s="43">
        <f t="shared" si="15"/>
        <v>3758</v>
      </c>
      <c r="K15" s="43">
        <f t="shared" si="15"/>
        <v>4009</v>
      </c>
      <c r="L15" s="44">
        <f t="shared" si="15"/>
        <v>14996</v>
      </c>
      <c r="M15" s="43">
        <f t="shared" si="15"/>
        <v>4590</v>
      </c>
      <c r="N15" s="43">
        <f t="shared" si="15"/>
        <v>5154</v>
      </c>
      <c r="O15" s="43">
        <f t="shared" si="15"/>
        <v>5528</v>
      </c>
      <c r="P15" s="43">
        <f t="shared" si="15"/>
        <v>6298</v>
      </c>
      <c r="Q15" s="44">
        <f t="shared" si="15"/>
        <v>21570</v>
      </c>
      <c r="R15" s="43">
        <f t="shared" si="15"/>
        <v>6749.4233744314624</v>
      </c>
      <c r="S15" s="43">
        <f t="shared" si="15"/>
        <v>7257.8803915949593</v>
      </c>
      <c r="T15" s="43">
        <f t="shared" si="15"/>
        <v>7649.9946833141039</v>
      </c>
      <c r="U15" s="43">
        <f t="shared" si="15"/>
        <v>9421.1438539458213</v>
      </c>
      <c r="V15" s="44">
        <f t="shared" si="15"/>
        <v>31078.442303286341</v>
      </c>
    </row>
    <row r="16" spans="1:50" x14ac:dyDescent="0.3">
      <c r="A16" s="163" t="s">
        <v>56</v>
      </c>
      <c r="B16" s="39"/>
      <c r="C16" s="46">
        <f>C10-C15</f>
        <v>2009</v>
      </c>
      <c r="D16" s="46">
        <f t="shared" ref="D16:E16" si="16">D10-D15</f>
        <v>2746</v>
      </c>
      <c r="E16" s="46">
        <f t="shared" si="16"/>
        <v>3122</v>
      </c>
      <c r="F16" s="46">
        <f>F10-F15</f>
        <v>4550</v>
      </c>
      <c r="G16" s="47">
        <f>G10-G15</f>
        <v>12427</v>
      </c>
      <c r="H16" s="46">
        <f>H10-H15</f>
        <v>3327</v>
      </c>
      <c r="I16" s="46">
        <f t="shared" ref="I16" si="17">I10-I15</f>
        <v>4401</v>
      </c>
      <c r="J16" s="46">
        <f t="shared" ref="J16" si="18">J10-J15</f>
        <v>5122</v>
      </c>
      <c r="K16" s="46">
        <f>K10-K15</f>
        <v>7352</v>
      </c>
      <c r="L16" s="47">
        <f>L10-L15</f>
        <v>20202</v>
      </c>
      <c r="M16" s="46">
        <f>M10-M15</f>
        <v>5449</v>
      </c>
      <c r="N16" s="46">
        <f t="shared" ref="N16" si="19">N10-N15</f>
        <v>5863</v>
      </c>
      <c r="O16" s="46">
        <f t="shared" ref="O16" si="20">O10-O15</f>
        <v>5781</v>
      </c>
      <c r="P16" s="46">
        <f>P10-P15</f>
        <v>7820</v>
      </c>
      <c r="Q16" s="47">
        <f>Q10-Q15</f>
        <v>24913</v>
      </c>
      <c r="R16" s="46">
        <f>R10-R15</f>
        <v>5526.943545264774</v>
      </c>
      <c r="S16" s="46">
        <f t="shared" ref="S16" si="21">S10-S15</f>
        <v>6055.3725611382051</v>
      </c>
      <c r="T16" s="46">
        <f t="shared" ref="T16" si="22">T10-T15</f>
        <v>5917.4522392548861</v>
      </c>
      <c r="U16" s="46">
        <f>U10-U15</f>
        <v>7149.1718593252299</v>
      </c>
      <c r="V16" s="47">
        <f>V10-V15</f>
        <v>24648.940204983104</v>
      </c>
    </row>
    <row r="17" spans="1:22" ht="16.2" x14ac:dyDescent="0.45">
      <c r="A17" s="92" t="s">
        <v>130</v>
      </c>
      <c r="B17" s="91"/>
      <c r="C17" s="40">
        <v>56</v>
      </c>
      <c r="D17" s="40">
        <v>20</v>
      </c>
      <c r="E17" s="40">
        <v>47</v>
      </c>
      <c r="F17" s="40">
        <v>-32</v>
      </c>
      <c r="G17" s="41">
        <f t="shared" ref="G17" si="23">SUM(C17:F17)</f>
        <v>91</v>
      </c>
      <c r="H17" s="40">
        <v>81</v>
      </c>
      <c r="I17" s="40">
        <v>87</v>
      </c>
      <c r="J17" s="40">
        <v>114</v>
      </c>
      <c r="K17" s="40">
        <v>110</v>
      </c>
      <c r="L17" s="41">
        <f t="shared" ref="L17" si="24">SUM(H17:K17)</f>
        <v>392</v>
      </c>
      <c r="M17" s="40">
        <v>161</v>
      </c>
      <c r="N17" s="40">
        <v>5</v>
      </c>
      <c r="O17" s="40">
        <v>131</v>
      </c>
      <c r="P17" s="40">
        <v>151</v>
      </c>
      <c r="Q17" s="41">
        <f t="shared" ref="Q17" si="25">SUM(M17:P17)</f>
        <v>448</v>
      </c>
      <c r="R17" s="73">
        <f>AVERAGE(P17,O17,N17,M17)</f>
        <v>112</v>
      </c>
      <c r="S17" s="73">
        <f>AVERAGE(R17,P17,O17,N17)</f>
        <v>99.75</v>
      </c>
      <c r="T17" s="73">
        <f>AVERAGE(S17,R17,P17,O17)</f>
        <v>123.4375</v>
      </c>
      <c r="U17" s="73">
        <f>AVERAGE(T17,S17,R17,P17)</f>
        <v>121.546875</v>
      </c>
      <c r="V17" s="41">
        <f t="shared" ref="V17" si="26">SUM(R17:U17)</f>
        <v>456.734375</v>
      </c>
    </row>
    <row r="18" spans="1:22" x14ac:dyDescent="0.3">
      <c r="A18" s="225" t="s">
        <v>57</v>
      </c>
      <c r="B18" s="226"/>
      <c r="C18" s="46">
        <f t="shared" ref="C18:V18" si="27">C16+C17</f>
        <v>2065</v>
      </c>
      <c r="D18" s="46">
        <f t="shared" si="27"/>
        <v>2766</v>
      </c>
      <c r="E18" s="46">
        <f t="shared" si="27"/>
        <v>3169</v>
      </c>
      <c r="F18" s="46">
        <f t="shared" si="27"/>
        <v>4518</v>
      </c>
      <c r="G18" s="47">
        <f t="shared" si="27"/>
        <v>12518</v>
      </c>
      <c r="H18" s="46">
        <f t="shared" si="27"/>
        <v>3408</v>
      </c>
      <c r="I18" s="46">
        <f t="shared" si="27"/>
        <v>4488</v>
      </c>
      <c r="J18" s="46">
        <f t="shared" si="27"/>
        <v>5236</v>
      </c>
      <c r="K18" s="46">
        <f t="shared" si="27"/>
        <v>7462</v>
      </c>
      <c r="L18" s="47">
        <f t="shared" si="27"/>
        <v>20594</v>
      </c>
      <c r="M18" s="46">
        <f t="shared" si="27"/>
        <v>5610</v>
      </c>
      <c r="N18" s="46">
        <f t="shared" si="27"/>
        <v>5868</v>
      </c>
      <c r="O18" s="46">
        <f t="shared" si="27"/>
        <v>5912</v>
      </c>
      <c r="P18" s="46">
        <f t="shared" si="27"/>
        <v>7971</v>
      </c>
      <c r="Q18" s="47">
        <f t="shared" si="27"/>
        <v>25361</v>
      </c>
      <c r="R18" s="46">
        <f t="shared" si="27"/>
        <v>5638.943545264774</v>
      </c>
      <c r="S18" s="46">
        <f t="shared" si="27"/>
        <v>6155.1225611382051</v>
      </c>
      <c r="T18" s="46">
        <f t="shared" si="27"/>
        <v>6040.8897392548861</v>
      </c>
      <c r="U18" s="46">
        <f t="shared" si="27"/>
        <v>7270.7187343252299</v>
      </c>
      <c r="V18" s="47">
        <f t="shared" si="27"/>
        <v>25105.674579983104</v>
      </c>
    </row>
    <row r="19" spans="1:22" ht="16.2" x14ac:dyDescent="0.45">
      <c r="A19" s="203" t="s">
        <v>30</v>
      </c>
      <c r="B19" s="204"/>
      <c r="C19" s="40">
        <v>-555</v>
      </c>
      <c r="D19" s="40">
        <v>-711</v>
      </c>
      <c r="E19" s="40">
        <v>-790</v>
      </c>
      <c r="F19" s="40">
        <f>-2301-E19-D19-C19</f>
        <v>-245</v>
      </c>
      <c r="G19" s="41">
        <f>SUM(C19:F19)</f>
        <v>-2301</v>
      </c>
      <c r="H19" s="40">
        <v>-344</v>
      </c>
      <c r="I19" s="40">
        <v>-594</v>
      </c>
      <c r="J19" s="40">
        <v>-529</v>
      </c>
      <c r="K19" s="40">
        <v>-3194</v>
      </c>
      <c r="L19" s="41">
        <f>SUM(H19:K19)</f>
        <v>-4661</v>
      </c>
      <c r="M19" s="40">
        <v>-622</v>
      </c>
      <c r="N19" s="40">
        <v>-762</v>
      </c>
      <c r="O19" s="40">
        <v>-775</v>
      </c>
      <c r="P19" s="40">
        <v>-1089</v>
      </c>
      <c r="Q19" s="41">
        <f>SUM(M19:P19)</f>
        <v>-3248</v>
      </c>
      <c r="R19" s="40">
        <f>+R18*-R70</f>
        <v>-859.41350112405405</v>
      </c>
      <c r="S19" s="40">
        <f>+S18*-S70</f>
        <v>-959.34771707649008</v>
      </c>
      <c r="T19" s="40">
        <f>+T18*-T70</f>
        <v>-947.08814884169681</v>
      </c>
      <c r="U19" s="40">
        <f>+U18*-U70</f>
        <v>-1163.3149974920368</v>
      </c>
      <c r="V19" s="41">
        <f>SUM(R19:U19)</f>
        <v>-3929.1643645342774</v>
      </c>
    </row>
    <row r="20" spans="1:22" x14ac:dyDescent="0.3">
      <c r="A20" s="225" t="s">
        <v>37</v>
      </c>
      <c r="B20" s="226"/>
      <c r="C20" s="46">
        <f t="shared" ref="C20:V20" si="28">+C18+C19</f>
        <v>1510</v>
      </c>
      <c r="D20" s="46">
        <f t="shared" si="28"/>
        <v>2055</v>
      </c>
      <c r="E20" s="46">
        <f t="shared" si="28"/>
        <v>2379</v>
      </c>
      <c r="F20" s="46">
        <f t="shared" si="28"/>
        <v>4273</v>
      </c>
      <c r="G20" s="47">
        <f t="shared" si="28"/>
        <v>10217</v>
      </c>
      <c r="H20" s="46">
        <f t="shared" si="28"/>
        <v>3064</v>
      </c>
      <c r="I20" s="46">
        <f t="shared" si="28"/>
        <v>3894</v>
      </c>
      <c r="J20" s="46">
        <f t="shared" si="28"/>
        <v>4707</v>
      </c>
      <c r="K20" s="46">
        <f t="shared" si="28"/>
        <v>4268</v>
      </c>
      <c r="L20" s="47">
        <f t="shared" si="28"/>
        <v>15933</v>
      </c>
      <c r="M20" s="46">
        <f t="shared" si="28"/>
        <v>4988</v>
      </c>
      <c r="N20" s="46">
        <f t="shared" si="28"/>
        <v>5106</v>
      </c>
      <c r="O20" s="46">
        <f t="shared" si="28"/>
        <v>5137</v>
      </c>
      <c r="P20" s="46">
        <f t="shared" si="28"/>
        <v>6882</v>
      </c>
      <c r="Q20" s="47">
        <f t="shared" si="28"/>
        <v>22113</v>
      </c>
      <c r="R20" s="46">
        <f t="shared" si="28"/>
        <v>4779.5300441407198</v>
      </c>
      <c r="S20" s="46">
        <f t="shared" si="28"/>
        <v>5195.7748440617152</v>
      </c>
      <c r="T20" s="46">
        <f t="shared" si="28"/>
        <v>5093.8015904131889</v>
      </c>
      <c r="U20" s="46">
        <f t="shared" si="28"/>
        <v>6107.4037368331929</v>
      </c>
      <c r="V20" s="47">
        <f t="shared" si="28"/>
        <v>21176.510215448827</v>
      </c>
    </row>
    <row r="21" spans="1:22" ht="16.2" x14ac:dyDescent="0.45">
      <c r="A21" s="53" t="s">
        <v>131</v>
      </c>
      <c r="B21" s="93"/>
      <c r="C21" s="40">
        <v>5</v>
      </c>
      <c r="D21" s="40">
        <v>7</v>
      </c>
      <c r="E21" s="40">
        <v>6</v>
      </c>
      <c r="F21" s="40">
        <v>7</v>
      </c>
      <c r="G21" s="41">
        <f>SUM(C21:F21)</f>
        <v>25</v>
      </c>
      <c r="H21" s="40">
        <v>5</v>
      </c>
      <c r="I21" s="40">
        <v>4</v>
      </c>
      <c r="J21" s="40">
        <v>3</v>
      </c>
      <c r="K21" s="40">
        <v>2</v>
      </c>
      <c r="L21" s="41">
        <f>SUM(H21:K21)</f>
        <v>14</v>
      </c>
      <c r="M21" s="40">
        <v>1</v>
      </c>
      <c r="N21" s="40">
        <v>0</v>
      </c>
      <c r="O21" s="40">
        <v>0</v>
      </c>
      <c r="P21" s="40">
        <v>0</v>
      </c>
      <c r="Q21" s="41">
        <f>SUM(M21:P21)</f>
        <v>1</v>
      </c>
      <c r="R21" s="73">
        <v>0</v>
      </c>
      <c r="S21" s="73">
        <v>0</v>
      </c>
      <c r="T21" s="73">
        <v>0</v>
      </c>
      <c r="U21" s="73">
        <v>0</v>
      </c>
      <c r="V21" s="41">
        <f>SUM(R21:U21)</f>
        <v>0</v>
      </c>
    </row>
    <row r="22" spans="1:22" s="19" customFormat="1" x14ac:dyDescent="0.3">
      <c r="A22" s="106" t="s">
        <v>132</v>
      </c>
      <c r="B22" s="101"/>
      <c r="C22" s="46">
        <f>+C20-C21</f>
        <v>1505</v>
      </c>
      <c r="D22" s="46">
        <f t="shared" ref="D22:F22" si="29">+D20-D21</f>
        <v>2048</v>
      </c>
      <c r="E22" s="46">
        <f t="shared" si="29"/>
        <v>2373</v>
      </c>
      <c r="F22" s="46">
        <f t="shared" si="29"/>
        <v>4266</v>
      </c>
      <c r="G22" s="47">
        <f>+G20-G21</f>
        <v>10192</v>
      </c>
      <c r="H22" s="46">
        <f t="shared" ref="H22:L22" si="30">+H20-H21</f>
        <v>3059</v>
      </c>
      <c r="I22" s="46">
        <f t="shared" si="30"/>
        <v>3890</v>
      </c>
      <c r="J22" s="46">
        <f t="shared" si="30"/>
        <v>4704</v>
      </c>
      <c r="K22" s="46">
        <f t="shared" si="30"/>
        <v>4266</v>
      </c>
      <c r="L22" s="47">
        <f t="shared" si="30"/>
        <v>15919</v>
      </c>
      <c r="M22" s="46">
        <f t="shared" ref="M22" si="31">+M20-M21</f>
        <v>4987</v>
      </c>
      <c r="N22" s="46">
        <f t="shared" ref="N22" si="32">+N20-N21</f>
        <v>5106</v>
      </c>
      <c r="O22" s="46">
        <f t="shared" ref="O22" si="33">+O20-O21</f>
        <v>5137</v>
      </c>
      <c r="P22" s="46">
        <f t="shared" ref="P22" si="34">+P20-P21</f>
        <v>6882</v>
      </c>
      <c r="Q22" s="47">
        <f t="shared" ref="Q22" si="35">+Q20-Q21</f>
        <v>22112</v>
      </c>
      <c r="R22" s="46">
        <f t="shared" ref="R22" si="36">+R20-R21</f>
        <v>4779.5300441407198</v>
      </c>
      <c r="S22" s="46">
        <f t="shared" ref="S22" si="37">+S20-S21</f>
        <v>5195.7748440617152</v>
      </c>
      <c r="T22" s="46">
        <f t="shared" ref="T22" si="38">+T20-T21</f>
        <v>5093.8015904131889</v>
      </c>
      <c r="U22" s="46">
        <f t="shared" ref="U22" si="39">+U20-U21</f>
        <v>6107.4037368331929</v>
      </c>
      <c r="V22" s="47">
        <f t="shared" ref="V22" si="40">+V20-V21</f>
        <v>21176.510215448827</v>
      </c>
    </row>
    <row r="23" spans="1:22" x14ac:dyDescent="0.3">
      <c r="A23" s="203" t="s">
        <v>0</v>
      </c>
      <c r="B23" s="204"/>
      <c r="C23" s="35">
        <v>2843</v>
      </c>
      <c r="D23" s="35">
        <v>2856</v>
      </c>
      <c r="E23" s="35">
        <v>2871</v>
      </c>
      <c r="F23" s="35">
        <v>2882</v>
      </c>
      <c r="G23" s="36">
        <v>2863.4998999999998</v>
      </c>
      <c r="H23" s="35">
        <v>2891</v>
      </c>
      <c r="I23" s="35">
        <v>2900</v>
      </c>
      <c r="J23" s="35">
        <v>2904</v>
      </c>
      <c r="K23" s="35">
        <v>2907</v>
      </c>
      <c r="L23" s="36">
        <v>2901</v>
      </c>
      <c r="M23" s="35">
        <v>2906</v>
      </c>
      <c r="N23" s="35">
        <v>2895</v>
      </c>
      <c r="O23" s="35">
        <v>2885</v>
      </c>
      <c r="P23" s="35">
        <v>2872</v>
      </c>
      <c r="Q23" s="36">
        <v>2890</v>
      </c>
      <c r="R23" s="35">
        <f>P23*(1+R73)-R77</f>
        <v>2877.0499998867572</v>
      </c>
      <c r="S23" s="35">
        <f>R23*(1+S73)-S77</f>
        <v>2883.876733071711</v>
      </c>
      <c r="T23" s="35">
        <f>S23*(1+T73)-T77</f>
        <v>2893.2273803690537</v>
      </c>
      <c r="U23" s="35">
        <f>T23*(1+U73)-U77</f>
        <v>2902.1407016858011</v>
      </c>
      <c r="V23" s="36">
        <f>(R23*R20/V20)+(S23*S20/V20)+(T23*T20/V20)+(U23*U20/V20)</f>
        <v>2889.852561694528</v>
      </c>
    </row>
    <row r="24" spans="1:22" ht="15.75" customHeight="1" x14ac:dyDescent="0.3">
      <c r="A24" s="203" t="s">
        <v>1</v>
      </c>
      <c r="B24" s="204"/>
      <c r="C24" s="35">
        <v>2888</v>
      </c>
      <c r="D24" s="35">
        <v>2904</v>
      </c>
      <c r="E24" s="35">
        <v>2915</v>
      </c>
      <c r="F24" s="35">
        <v>2938</v>
      </c>
      <c r="G24" s="36">
        <v>2925</v>
      </c>
      <c r="H24" s="35">
        <v>2944</v>
      </c>
      <c r="I24" s="35">
        <v>2951</v>
      </c>
      <c r="J24" s="35">
        <v>2956</v>
      </c>
      <c r="K24" s="35">
        <v>2954</v>
      </c>
      <c r="L24" s="36">
        <v>2956</v>
      </c>
      <c r="M24" s="35">
        <v>2945</v>
      </c>
      <c r="N24" s="35">
        <v>2930</v>
      </c>
      <c r="O24" s="35">
        <v>2913</v>
      </c>
      <c r="P24" s="35">
        <v>2886</v>
      </c>
      <c r="Q24" s="36">
        <v>2921</v>
      </c>
      <c r="R24" s="35">
        <f>P24*(1+R74)-R77</f>
        <v>2882.8411752695465</v>
      </c>
      <c r="S24" s="35">
        <f>R24*(1+S74)-S77</f>
        <v>2881.3654486382052</v>
      </c>
      <c r="T24" s="35">
        <f>S24*(1+T74)-T77</f>
        <v>2881.306808068648</v>
      </c>
      <c r="U24" s="35">
        <f>T24*(1+U74)-U77</f>
        <v>2880.1865639610746</v>
      </c>
      <c r="V24" s="36">
        <f>(R24*R20/V20)+(S24*S20/V20)+(T24*T20/V20)+(U24*U20/V20)</f>
        <v>2881.3444183394004</v>
      </c>
    </row>
    <row r="25" spans="1:22" ht="15.75" customHeight="1" x14ac:dyDescent="0.3">
      <c r="A25" s="223" t="s">
        <v>38</v>
      </c>
      <c r="B25" s="224"/>
      <c r="C25" s="49">
        <f t="shared" ref="C25:V25" si="41">C20/C23</f>
        <v>0.53112908899050304</v>
      </c>
      <c r="D25" s="49">
        <f t="shared" si="41"/>
        <v>0.71953781512605042</v>
      </c>
      <c r="E25" s="49">
        <f t="shared" si="41"/>
        <v>0.82863113897596652</v>
      </c>
      <c r="F25" s="49">
        <f t="shared" si="41"/>
        <v>1.4826509368494101</v>
      </c>
      <c r="G25" s="50">
        <f t="shared" si="41"/>
        <v>3.5680112997384774</v>
      </c>
      <c r="H25" s="49">
        <f t="shared" si="41"/>
        <v>1.0598408855067452</v>
      </c>
      <c r="I25" s="49">
        <f t="shared" si="41"/>
        <v>1.3427586206896551</v>
      </c>
      <c r="J25" s="49">
        <f t="shared" si="41"/>
        <v>1.6208677685950412</v>
      </c>
      <c r="K25" s="49">
        <f t="shared" si="41"/>
        <v>1.4681802545579636</v>
      </c>
      <c r="L25" s="50">
        <f t="shared" si="41"/>
        <v>5.4922440537745603</v>
      </c>
      <c r="M25" s="49">
        <f t="shared" si="41"/>
        <v>1.7164487267721955</v>
      </c>
      <c r="N25" s="49">
        <f t="shared" si="41"/>
        <v>1.7637305699481864</v>
      </c>
      <c r="O25" s="49">
        <f t="shared" si="41"/>
        <v>1.7805892547660311</v>
      </c>
      <c r="P25" s="49">
        <f t="shared" si="41"/>
        <v>2.3962395543175488</v>
      </c>
      <c r="Q25" s="50">
        <f t="shared" si="41"/>
        <v>7.6515570934256054</v>
      </c>
      <c r="R25" s="49">
        <f t="shared" si="41"/>
        <v>1.6612606817152451</v>
      </c>
      <c r="S25" s="49">
        <f t="shared" si="41"/>
        <v>1.8016632904165519</v>
      </c>
      <c r="T25" s="49">
        <f t="shared" si="41"/>
        <v>1.760594976037948</v>
      </c>
      <c r="U25" s="49">
        <f t="shared" si="41"/>
        <v>2.1044478419966035</v>
      </c>
      <c r="V25" s="50">
        <f t="shared" si="41"/>
        <v>7.3278860299473267</v>
      </c>
    </row>
    <row r="26" spans="1:22" x14ac:dyDescent="0.3">
      <c r="A26" s="221" t="s">
        <v>39</v>
      </c>
      <c r="B26" s="222"/>
      <c r="C26" s="177">
        <f t="shared" ref="C26:V26" si="42">C20/C24</f>
        <v>0.52285318559556782</v>
      </c>
      <c r="D26" s="177">
        <f t="shared" si="42"/>
        <v>0.7076446280991735</v>
      </c>
      <c r="E26" s="177">
        <f t="shared" si="42"/>
        <v>0.81612349914236704</v>
      </c>
      <c r="F26" s="177">
        <f t="shared" si="42"/>
        <v>1.4543907420013615</v>
      </c>
      <c r="G26" s="178">
        <f t="shared" si="42"/>
        <v>3.4929914529914532</v>
      </c>
      <c r="H26" s="177">
        <f t="shared" si="42"/>
        <v>1.0407608695652173</v>
      </c>
      <c r="I26" s="177">
        <f t="shared" si="42"/>
        <v>1.3195526940020332</v>
      </c>
      <c r="J26" s="177">
        <f t="shared" si="42"/>
        <v>1.5923545331529094</v>
      </c>
      <c r="K26" s="177">
        <f t="shared" si="42"/>
        <v>1.4448205822613405</v>
      </c>
      <c r="L26" s="178">
        <f t="shared" si="42"/>
        <v>5.3900541271989173</v>
      </c>
      <c r="M26" s="177">
        <f t="shared" si="42"/>
        <v>1.6937181663837011</v>
      </c>
      <c r="N26" s="177">
        <f t="shared" si="42"/>
        <v>1.7426621160409557</v>
      </c>
      <c r="O26" s="177">
        <f t="shared" si="42"/>
        <v>1.7634740817027119</v>
      </c>
      <c r="P26" s="177">
        <f t="shared" si="42"/>
        <v>2.3846153846153846</v>
      </c>
      <c r="Q26" s="178">
        <f t="shared" si="42"/>
        <v>7.5703526189661074</v>
      </c>
      <c r="R26" s="177">
        <f t="shared" si="42"/>
        <v>1.6579234697845719</v>
      </c>
      <c r="S26" s="177">
        <f t="shared" si="42"/>
        <v>1.8032335490513185</v>
      </c>
      <c r="T26" s="177">
        <f t="shared" si="42"/>
        <v>1.7678789277659692</v>
      </c>
      <c r="U26" s="177">
        <f t="shared" si="42"/>
        <v>2.1204889340341126</v>
      </c>
      <c r="V26" s="178">
        <f t="shared" si="42"/>
        <v>7.3495240904429755</v>
      </c>
    </row>
    <row r="27" spans="1:22" x14ac:dyDescent="0.3">
      <c r="A27" s="52"/>
      <c r="B27" s="64"/>
      <c r="C27" s="64"/>
      <c r="D27" s="64"/>
      <c r="E27" s="64"/>
      <c r="F27" s="64"/>
      <c r="G27" s="9"/>
      <c r="H27" s="64"/>
      <c r="I27" s="64"/>
      <c r="J27" s="64"/>
      <c r="K27" s="64"/>
      <c r="L27" s="9"/>
      <c r="M27" s="64"/>
      <c r="N27" s="64"/>
      <c r="O27" s="64"/>
      <c r="P27" s="64"/>
      <c r="Q27" s="9"/>
      <c r="R27" s="129"/>
      <c r="S27" s="64"/>
      <c r="T27" s="64"/>
      <c r="U27" s="64"/>
      <c r="V27" s="9"/>
    </row>
    <row r="28" spans="1:22" ht="15.6" x14ac:dyDescent="0.3">
      <c r="A28" s="211" t="s">
        <v>92</v>
      </c>
      <c r="B28" s="212"/>
      <c r="C28" s="32" t="s">
        <v>112</v>
      </c>
      <c r="D28" s="32" t="s">
        <v>113</v>
      </c>
      <c r="E28" s="32" t="s">
        <v>114</v>
      </c>
      <c r="F28" s="32" t="s">
        <v>115</v>
      </c>
      <c r="G28" s="123" t="s">
        <v>115</v>
      </c>
      <c r="H28" s="32" t="s">
        <v>99</v>
      </c>
      <c r="I28" s="32" t="s">
        <v>104</v>
      </c>
      <c r="J28" s="32" t="s">
        <v>105</v>
      </c>
      <c r="K28" s="32" t="s">
        <v>106</v>
      </c>
      <c r="L28" s="123" t="s">
        <v>106</v>
      </c>
      <c r="M28" s="32" t="s">
        <v>101</v>
      </c>
      <c r="N28" s="32" t="s">
        <v>100</v>
      </c>
      <c r="O28" s="32" t="s">
        <v>102</v>
      </c>
      <c r="P28" s="32" t="s">
        <v>103</v>
      </c>
      <c r="Q28" s="123" t="s">
        <v>103</v>
      </c>
      <c r="R28" s="34" t="s">
        <v>121</v>
      </c>
      <c r="S28" s="34" t="s">
        <v>122</v>
      </c>
      <c r="T28" s="34" t="s">
        <v>123</v>
      </c>
      <c r="U28" s="34" t="s">
        <v>124</v>
      </c>
      <c r="V28" s="126" t="s">
        <v>124</v>
      </c>
    </row>
    <row r="29" spans="1:22" ht="16.2" x14ac:dyDescent="0.45">
      <c r="A29" s="219"/>
      <c r="B29" s="220"/>
      <c r="C29" s="33" t="s">
        <v>116</v>
      </c>
      <c r="D29" s="33" t="s">
        <v>117</v>
      </c>
      <c r="E29" s="33" t="s">
        <v>118</v>
      </c>
      <c r="F29" s="33" t="s">
        <v>119</v>
      </c>
      <c r="G29" s="124" t="s">
        <v>120</v>
      </c>
      <c r="H29" s="33" t="s">
        <v>107</v>
      </c>
      <c r="I29" s="33" t="s">
        <v>108</v>
      </c>
      <c r="J29" s="33" t="s">
        <v>109</v>
      </c>
      <c r="K29" s="33" t="s">
        <v>110</v>
      </c>
      <c r="L29" s="124" t="s">
        <v>111</v>
      </c>
      <c r="M29" s="33" t="s">
        <v>98</v>
      </c>
      <c r="N29" s="33" t="s">
        <v>97</v>
      </c>
      <c r="O29" s="33" t="s">
        <v>96</v>
      </c>
      <c r="P29" s="33" t="s">
        <v>95</v>
      </c>
      <c r="Q29" s="124" t="s">
        <v>94</v>
      </c>
      <c r="R29" s="31" t="s">
        <v>214</v>
      </c>
      <c r="S29" s="31" t="s">
        <v>215</v>
      </c>
      <c r="T29" s="31" t="s">
        <v>216</v>
      </c>
      <c r="U29" s="31" t="s">
        <v>217</v>
      </c>
      <c r="V29" s="127" t="s">
        <v>218</v>
      </c>
    </row>
    <row r="30" spans="1:22" ht="15.6" x14ac:dyDescent="0.3">
      <c r="A30" s="211" t="s">
        <v>136</v>
      </c>
      <c r="B30" s="212"/>
      <c r="C30" s="32"/>
      <c r="D30" s="32"/>
      <c r="E30" s="32"/>
      <c r="F30" s="32"/>
      <c r="G30" s="123"/>
      <c r="H30" s="32"/>
      <c r="I30" s="32"/>
      <c r="J30" s="32"/>
      <c r="K30" s="32"/>
      <c r="L30" s="123"/>
      <c r="M30" s="32"/>
      <c r="N30" s="32"/>
      <c r="O30" s="32"/>
      <c r="P30" s="32"/>
      <c r="Q30" s="123"/>
      <c r="R30" s="34"/>
      <c r="S30" s="34"/>
      <c r="T30" s="34"/>
      <c r="U30" s="34"/>
      <c r="V30" s="126"/>
    </row>
    <row r="31" spans="1:22" outlineLevel="1" x14ac:dyDescent="0.3">
      <c r="A31" s="92" t="s">
        <v>137</v>
      </c>
      <c r="B31" s="93"/>
      <c r="C31" s="83">
        <v>2740</v>
      </c>
      <c r="D31" s="83">
        <v>3212</v>
      </c>
      <c r="E31" s="83">
        <v>3560</v>
      </c>
      <c r="F31" s="83">
        <v>4556</v>
      </c>
      <c r="G31" s="17"/>
      <c r="H31" s="83">
        <v>3968</v>
      </c>
      <c r="I31" s="83">
        <v>4556</v>
      </c>
      <c r="J31" s="83">
        <v>5033</v>
      </c>
      <c r="K31" s="83">
        <v>6392</v>
      </c>
      <c r="L31" s="17"/>
      <c r="M31" s="83">
        <v>5667</v>
      </c>
      <c r="N31" s="83">
        <v>6251</v>
      </c>
      <c r="O31" s="83">
        <v>6667</v>
      </c>
      <c r="P31" s="83">
        <v>8433</v>
      </c>
      <c r="Q31" s="17"/>
      <c r="R31" s="83">
        <f>+((R37+P37)/2)*R47</f>
        <v>7156.7636874999998</v>
      </c>
      <c r="S31" s="83">
        <f>+((S37+R37)/2)*S47</f>
        <v>7772.946735298382</v>
      </c>
      <c r="T31" s="83">
        <f>+((T37+S37)/2)*T47</f>
        <v>8398.8043562166258</v>
      </c>
      <c r="U31" s="83">
        <f>+((U37+T37)/2)*U47</f>
        <v>10524.466259552797</v>
      </c>
      <c r="V31" s="17"/>
    </row>
    <row r="32" spans="1:22" outlineLevel="1" x14ac:dyDescent="0.3">
      <c r="A32" s="92" t="s">
        <v>138</v>
      </c>
      <c r="B32" s="93"/>
      <c r="C32" s="83">
        <v>1307</v>
      </c>
      <c r="D32" s="83">
        <v>1585</v>
      </c>
      <c r="E32" s="83">
        <v>1605</v>
      </c>
      <c r="F32" s="83">
        <v>2065</v>
      </c>
      <c r="G32" s="17"/>
      <c r="H32" s="83">
        <v>1905</v>
      </c>
      <c r="I32" s="83">
        <v>2242</v>
      </c>
      <c r="J32" s="83">
        <v>2481</v>
      </c>
      <c r="K32" s="83">
        <v>3250</v>
      </c>
      <c r="L32" s="17"/>
      <c r="M32" s="83">
        <v>3036</v>
      </c>
      <c r="N32" s="83">
        <v>3302</v>
      </c>
      <c r="O32" s="83">
        <v>3313</v>
      </c>
      <c r="P32" s="83">
        <v>4151</v>
      </c>
      <c r="Q32" s="17"/>
      <c r="R32" s="83">
        <f>+((R39+P39)/2)*R49</f>
        <v>3779.3123059999994</v>
      </c>
      <c r="S32" s="83">
        <f>+((S39+R39)/2)*S49</f>
        <v>4074.9424842915846</v>
      </c>
      <c r="T32" s="83">
        <f t="shared" ref="T32:U32" si="43">+((T39+S39)/2)*T49</f>
        <v>3927.5329975634704</v>
      </c>
      <c r="U32" s="83">
        <f t="shared" si="43"/>
        <v>4689.7362545211245</v>
      </c>
      <c r="V32" s="17"/>
    </row>
    <row r="33" spans="1:22" outlineLevel="1" x14ac:dyDescent="0.3">
      <c r="A33" s="92" t="s">
        <v>139</v>
      </c>
      <c r="B33" s="101"/>
      <c r="C33" s="83">
        <v>862</v>
      </c>
      <c r="D33" s="83">
        <v>1025</v>
      </c>
      <c r="E33" s="83">
        <v>1154</v>
      </c>
      <c r="F33" s="83">
        <v>1349</v>
      </c>
      <c r="G33" s="17"/>
      <c r="H33" s="83">
        <v>1375</v>
      </c>
      <c r="I33" s="83">
        <v>1569</v>
      </c>
      <c r="J33" s="83">
        <v>1760</v>
      </c>
      <c r="K33" s="83">
        <v>2059</v>
      </c>
      <c r="L33" s="17"/>
      <c r="M33" s="83">
        <v>2091</v>
      </c>
      <c r="N33" s="83">
        <v>2316</v>
      </c>
      <c r="O33" s="83">
        <v>2422</v>
      </c>
      <c r="P33" s="83">
        <v>2759</v>
      </c>
      <c r="Q33" s="17"/>
      <c r="R33" s="83">
        <f>+((R41+P41)/2)*R51</f>
        <v>2771.1594960000002</v>
      </c>
      <c r="S33" s="83">
        <f>+((S41+R41)/2)*S51</f>
        <v>2962.056720000001</v>
      </c>
      <c r="T33" s="83">
        <f t="shared" ref="T33:U33" si="44">+((T41+S41)/2)*T51</f>
        <v>3046.2968641405423</v>
      </c>
      <c r="U33" s="83">
        <f t="shared" si="44"/>
        <v>3419.1856357299644</v>
      </c>
      <c r="V33" s="17"/>
    </row>
    <row r="34" spans="1:22" ht="16.2" outlineLevel="1" x14ac:dyDescent="0.45">
      <c r="A34" s="92" t="s">
        <v>140</v>
      </c>
      <c r="B34" s="93"/>
      <c r="C34" s="169">
        <v>473</v>
      </c>
      <c r="D34" s="169">
        <v>614</v>
      </c>
      <c r="E34" s="169">
        <v>692</v>
      </c>
      <c r="F34" s="169">
        <v>839</v>
      </c>
      <c r="G34" s="17"/>
      <c r="H34" s="169">
        <v>784</v>
      </c>
      <c r="I34" s="169">
        <v>954</v>
      </c>
      <c r="J34" s="169">
        <v>1054</v>
      </c>
      <c r="K34" s="169">
        <v>1271</v>
      </c>
      <c r="L34" s="17"/>
      <c r="M34" s="169">
        <v>1172</v>
      </c>
      <c r="N34" s="169">
        <v>1362</v>
      </c>
      <c r="O34" s="169">
        <v>1325</v>
      </c>
      <c r="P34" s="169">
        <v>1571</v>
      </c>
      <c r="Q34" s="17"/>
      <c r="R34" s="169">
        <f>+((R43+P43)/2)*R53</f>
        <v>1460.0080485482308</v>
      </c>
      <c r="S34" s="169">
        <f>+((S43+R43)/2)*S53</f>
        <v>1697.4972752062702</v>
      </c>
      <c r="T34" s="169">
        <f t="shared" ref="T34:U34" si="45">+((T43+S43)/2)*T53</f>
        <v>1567.6166530607472</v>
      </c>
      <c r="U34" s="169">
        <f t="shared" si="45"/>
        <v>1849.078739282699</v>
      </c>
      <c r="V34" s="17"/>
    </row>
    <row r="35" spans="1:22" s="164" customFormat="1" outlineLevel="1" x14ac:dyDescent="0.3">
      <c r="A35" s="163" t="s">
        <v>54</v>
      </c>
      <c r="B35" s="95"/>
      <c r="C35" s="170">
        <f>SUM(C31:C34)</f>
        <v>5382</v>
      </c>
      <c r="D35" s="170">
        <f t="shared" ref="D35:F35" si="46">SUM(D31:D34)</f>
        <v>6436</v>
      </c>
      <c r="E35" s="170">
        <f t="shared" si="46"/>
        <v>7011</v>
      </c>
      <c r="F35" s="170">
        <f t="shared" si="46"/>
        <v>8809</v>
      </c>
      <c r="G35" s="202">
        <f>SUM(C35:F35)</f>
        <v>27638</v>
      </c>
      <c r="H35" s="170">
        <f>SUM(H31:H34)</f>
        <v>8032</v>
      </c>
      <c r="I35" s="170">
        <f t="shared" ref="I35:K35" si="47">SUM(I31:I34)</f>
        <v>9321</v>
      </c>
      <c r="J35" s="170">
        <f t="shared" si="47"/>
        <v>10328</v>
      </c>
      <c r="K35" s="170">
        <f t="shared" si="47"/>
        <v>12972</v>
      </c>
      <c r="L35" s="202">
        <f>SUM(H35:K35)</f>
        <v>40653</v>
      </c>
      <c r="M35" s="170">
        <f>SUM(M31:M34)</f>
        <v>11966</v>
      </c>
      <c r="N35" s="170">
        <f t="shared" ref="N35" si="48">SUM(N31:N34)</f>
        <v>13231</v>
      </c>
      <c r="O35" s="170">
        <f t="shared" ref="O35" si="49">SUM(O31:O34)</f>
        <v>13727</v>
      </c>
      <c r="P35" s="170">
        <f t="shared" ref="P35" si="50">SUM(P31:P34)</f>
        <v>16914</v>
      </c>
      <c r="Q35" s="202">
        <f>SUM(M35:P35)</f>
        <v>55838</v>
      </c>
      <c r="R35" s="170">
        <f>SUM(R31:R34)</f>
        <v>15167.243538048229</v>
      </c>
      <c r="S35" s="170">
        <f>SUM(S31:S34)</f>
        <v>16507.443214796236</v>
      </c>
      <c r="T35" s="170">
        <f t="shared" ref="T35" si="51">SUM(T31:T34)</f>
        <v>16940.250870981385</v>
      </c>
      <c r="U35" s="170">
        <f t="shared" ref="U35" si="52">SUM(U31:U34)</f>
        <v>20482.466889086587</v>
      </c>
      <c r="V35" s="202">
        <f>SUM(R35:U35)</f>
        <v>69097.404512912442</v>
      </c>
    </row>
    <row r="36" spans="1:22" ht="17.399999999999999" x14ac:dyDescent="0.45">
      <c r="A36" s="211" t="s">
        <v>148</v>
      </c>
      <c r="B36" s="212"/>
      <c r="C36" s="33" t="s">
        <v>116</v>
      </c>
      <c r="D36" s="33" t="s">
        <v>117</v>
      </c>
      <c r="E36" s="33" t="s">
        <v>118</v>
      </c>
      <c r="F36" s="33" t="s">
        <v>119</v>
      </c>
      <c r="G36" s="124" t="s">
        <v>120</v>
      </c>
      <c r="H36" s="33" t="s">
        <v>107</v>
      </c>
      <c r="I36" s="33" t="s">
        <v>108</v>
      </c>
      <c r="J36" s="33" t="s">
        <v>109</v>
      </c>
      <c r="K36" s="33" t="s">
        <v>110</v>
      </c>
      <c r="L36" s="124" t="s">
        <v>111</v>
      </c>
      <c r="M36" s="33" t="s">
        <v>98</v>
      </c>
      <c r="N36" s="33" t="s">
        <v>97</v>
      </c>
      <c r="O36" s="33" t="s">
        <v>96</v>
      </c>
      <c r="P36" s="33" t="s">
        <v>95</v>
      </c>
      <c r="Q36" s="124" t="s">
        <v>94</v>
      </c>
      <c r="R36" s="31" t="s">
        <v>214</v>
      </c>
      <c r="S36" s="31" t="s">
        <v>215</v>
      </c>
      <c r="T36" s="31" t="s">
        <v>216</v>
      </c>
      <c r="U36" s="31" t="s">
        <v>217</v>
      </c>
      <c r="V36" s="127" t="s">
        <v>218</v>
      </c>
    </row>
    <row r="37" spans="1:22" ht="15.6" outlineLevel="1" x14ac:dyDescent="0.3">
      <c r="A37" s="92" t="s">
        <v>219</v>
      </c>
      <c r="B37" s="165"/>
      <c r="C37" s="35">
        <v>222</v>
      </c>
      <c r="D37" s="35">
        <v>226</v>
      </c>
      <c r="E37" s="35">
        <v>229</v>
      </c>
      <c r="F37" s="35">
        <v>231</v>
      </c>
      <c r="G37" s="63"/>
      <c r="H37" s="35">
        <v>234</v>
      </c>
      <c r="I37" s="35">
        <v>236</v>
      </c>
      <c r="J37" s="35">
        <v>239</v>
      </c>
      <c r="K37" s="35">
        <v>239</v>
      </c>
      <c r="L37" s="17"/>
      <c r="M37" s="35">
        <v>241</v>
      </c>
      <c r="N37" s="35">
        <v>241</v>
      </c>
      <c r="O37" s="35">
        <v>242</v>
      </c>
      <c r="P37" s="35">
        <v>242</v>
      </c>
      <c r="Q37" s="17"/>
      <c r="R37" s="35">
        <f>M37*(1+R38)</f>
        <v>243.41</v>
      </c>
      <c r="S37" s="35">
        <f t="shared" ref="S37:U37" si="53">N37*(1+S38)</f>
        <v>244.39153535210266</v>
      </c>
      <c r="T37" s="35">
        <f t="shared" si="53"/>
        <v>244.97523048010783</v>
      </c>
      <c r="U37" s="35">
        <f t="shared" si="53"/>
        <v>244.95962387419331</v>
      </c>
      <c r="V37" s="17"/>
    </row>
    <row r="38" spans="1:22" ht="15.6" outlineLevel="1" x14ac:dyDescent="0.3">
      <c r="A38" s="53" t="s">
        <v>144</v>
      </c>
      <c r="B38" s="165"/>
      <c r="C38" s="35"/>
      <c r="D38" s="35"/>
      <c r="E38" s="35"/>
      <c r="F38" s="35"/>
      <c r="G38" s="63"/>
      <c r="H38" s="69">
        <f>+H37/C37-1</f>
        <v>5.4054054054053946E-2</v>
      </c>
      <c r="I38" s="69">
        <f>+I37/D37-1</f>
        <v>4.4247787610619538E-2</v>
      </c>
      <c r="J38" s="69">
        <f>+J37/E37-1</f>
        <v>4.366812227074246E-2</v>
      </c>
      <c r="K38" s="69">
        <f>+K37/F37-1</f>
        <v>3.463203463203457E-2</v>
      </c>
      <c r="L38" s="17"/>
      <c r="M38" s="69">
        <f>+M37/H37-1</f>
        <v>2.9914529914529808E-2</v>
      </c>
      <c r="N38" s="69">
        <f>+N37/I37-1</f>
        <v>2.1186440677966045E-2</v>
      </c>
      <c r="O38" s="69">
        <f>+O37/J37-1</f>
        <v>1.2552301255230214E-2</v>
      </c>
      <c r="P38" s="69">
        <f>+P37/K37-1</f>
        <v>1.2552301255230214E-2</v>
      </c>
      <c r="Q38" s="17"/>
      <c r="R38" s="76">
        <v>0.01</v>
      </c>
      <c r="S38" s="76">
        <f>AVERAGE(N38,O38,P38,R38)</f>
        <v>1.4072760797106619E-2</v>
      </c>
      <c r="T38" s="76">
        <f>AVERAGE(O38,P38,R38,S38)</f>
        <v>1.2294340826891762E-2</v>
      </c>
      <c r="U38" s="76">
        <f>AVERAGE(P38,R38,S38,T38)</f>
        <v>1.222985071980715E-2</v>
      </c>
      <c r="V38" s="17"/>
    </row>
    <row r="39" spans="1:22" outlineLevel="1" x14ac:dyDescent="0.3">
      <c r="A39" s="70" t="s">
        <v>221</v>
      </c>
      <c r="B39" s="166"/>
      <c r="C39" s="35">
        <v>333</v>
      </c>
      <c r="D39" s="35">
        <v>338</v>
      </c>
      <c r="E39" s="35">
        <v>342</v>
      </c>
      <c r="F39" s="35">
        <v>349</v>
      </c>
      <c r="G39" s="17"/>
      <c r="H39" s="35">
        <v>354</v>
      </c>
      <c r="I39" s="35">
        <v>360</v>
      </c>
      <c r="J39" s="35">
        <v>364</v>
      </c>
      <c r="K39" s="35">
        <v>370</v>
      </c>
      <c r="L39" s="17"/>
      <c r="M39" s="35">
        <v>377</v>
      </c>
      <c r="N39" s="35">
        <v>376</v>
      </c>
      <c r="O39" s="35">
        <v>375</v>
      </c>
      <c r="P39" s="35">
        <v>381</v>
      </c>
      <c r="Q39" s="17"/>
      <c r="R39" s="35">
        <f>M39*(1+R40)</f>
        <v>388.31</v>
      </c>
      <c r="S39" s="35">
        <f t="shared" ref="S39" si="54">N39*(1+S40)</f>
        <v>388.6330317130317</v>
      </c>
      <c r="T39" s="35">
        <f t="shared" ref="T39" si="55">O39*(1+T40)</f>
        <v>390</v>
      </c>
      <c r="U39" s="35">
        <f t="shared" ref="U39" si="56">P39*(1+U40)</f>
        <v>393.69951279576281</v>
      </c>
      <c r="V39" s="17"/>
    </row>
    <row r="40" spans="1:22" outlineLevel="1" x14ac:dyDescent="0.3">
      <c r="A40" s="53" t="s">
        <v>145</v>
      </c>
      <c r="B40" s="166"/>
      <c r="C40" s="35"/>
      <c r="D40" s="35"/>
      <c r="E40" s="35"/>
      <c r="F40" s="35"/>
      <c r="G40" s="17"/>
      <c r="H40" s="69">
        <f>+H39/C39-1</f>
        <v>6.3063063063063085E-2</v>
      </c>
      <c r="I40" s="69">
        <f>+I39/D39-1</f>
        <v>6.5088757396449815E-2</v>
      </c>
      <c r="J40" s="69">
        <f>+J39/E39-1</f>
        <v>6.4327485380117011E-2</v>
      </c>
      <c r="K40" s="69">
        <f>+K39/F39-1</f>
        <v>6.0171919770773741E-2</v>
      </c>
      <c r="L40" s="17"/>
      <c r="M40" s="69">
        <f>+M39/H39-1</f>
        <v>6.4971751412429279E-2</v>
      </c>
      <c r="N40" s="69">
        <f>+N39/I39-1</f>
        <v>4.4444444444444509E-2</v>
      </c>
      <c r="O40" s="69">
        <f>+O39/J39-1</f>
        <v>3.0219780219780112E-2</v>
      </c>
      <c r="P40" s="69">
        <f>+P39/K39-1</f>
        <v>2.9729729729729648E-2</v>
      </c>
      <c r="Q40" s="17"/>
      <c r="R40" s="76">
        <v>0.03</v>
      </c>
      <c r="S40" s="76">
        <f>AVERAGE(N40,O40,P40,R40)</f>
        <v>3.3598488598488567E-2</v>
      </c>
      <c r="T40" s="76">
        <v>0.04</v>
      </c>
      <c r="U40" s="76">
        <f>AVERAGE(P40,R40,S40,T40)</f>
        <v>3.3332054582054557E-2</v>
      </c>
      <c r="V40" s="17"/>
    </row>
    <row r="41" spans="1:22" outlineLevel="1" x14ac:dyDescent="0.3">
      <c r="A41" s="70" t="s">
        <v>141</v>
      </c>
      <c r="B41" s="166"/>
      <c r="C41" s="35">
        <v>566</v>
      </c>
      <c r="D41" s="35">
        <v>592</v>
      </c>
      <c r="E41" s="35">
        <v>629</v>
      </c>
      <c r="F41" s="35">
        <v>673.4</v>
      </c>
      <c r="G41" s="28"/>
      <c r="H41" s="35">
        <v>716</v>
      </c>
      <c r="I41" s="35">
        <v>756</v>
      </c>
      <c r="J41" s="35">
        <v>794</v>
      </c>
      <c r="K41" s="35">
        <v>828</v>
      </c>
      <c r="L41" s="28"/>
      <c r="M41" s="35">
        <v>873</v>
      </c>
      <c r="N41" s="35">
        <v>894</v>
      </c>
      <c r="O41" s="35">
        <v>917</v>
      </c>
      <c r="P41" s="35">
        <v>947</v>
      </c>
      <c r="Q41" s="28"/>
      <c r="R41" s="35">
        <f>M41*(1+R42)</f>
        <v>995.22000000000014</v>
      </c>
      <c r="S41" s="35">
        <f t="shared" ref="S41" si="57">N41*(1+S42)</f>
        <v>1023.63</v>
      </c>
      <c r="T41" s="35">
        <f t="shared" ref="T41" si="58">O41*(1+T42)</f>
        <v>1050.7975547433041</v>
      </c>
      <c r="U41" s="35">
        <f t="shared" ref="U41" si="59">P41*(1+U42)</f>
        <v>1083.0431122724481</v>
      </c>
      <c r="V41" s="23"/>
    </row>
    <row r="42" spans="1:22" outlineLevel="1" x14ac:dyDescent="0.3">
      <c r="A42" s="53" t="s">
        <v>146</v>
      </c>
      <c r="B42" s="166"/>
      <c r="C42" s="35"/>
      <c r="D42" s="35"/>
      <c r="E42" s="35"/>
      <c r="F42" s="35"/>
      <c r="G42" s="28"/>
      <c r="H42" s="69">
        <f>+H41/C41-1</f>
        <v>0.26501766784452307</v>
      </c>
      <c r="I42" s="69">
        <f>+I41/D41-1</f>
        <v>0.27702702702702697</v>
      </c>
      <c r="J42" s="69">
        <f>+J41/E41-1</f>
        <v>0.26232114467408585</v>
      </c>
      <c r="K42" s="69">
        <f>+K41/F41-1</f>
        <v>0.22958122958122962</v>
      </c>
      <c r="L42" s="28"/>
      <c r="M42" s="69">
        <f>+M41/H41-1</f>
        <v>0.21927374301675973</v>
      </c>
      <c r="N42" s="69">
        <f>+N41/I41-1</f>
        <v>0.18253968253968256</v>
      </c>
      <c r="O42" s="69">
        <f>+O41/J41-1</f>
        <v>0.15491183879093207</v>
      </c>
      <c r="P42" s="69">
        <f>+P41/K41-1</f>
        <v>0.143719806763285</v>
      </c>
      <c r="Q42" s="28"/>
      <c r="R42" s="76">
        <v>0.14000000000000001</v>
      </c>
      <c r="S42" s="76">
        <v>0.14499999999999999</v>
      </c>
      <c r="T42" s="76">
        <f>AVERAGE(O42,P42,R42,S42)</f>
        <v>0.14590791138855427</v>
      </c>
      <c r="U42" s="76">
        <f>AVERAGE(P42,R42,S42,T42)</f>
        <v>0.14365692953795983</v>
      </c>
      <c r="V42" s="23"/>
    </row>
    <row r="43" spans="1:22" outlineLevel="1" x14ac:dyDescent="0.3">
      <c r="A43" s="70" t="s">
        <v>142</v>
      </c>
      <c r="B43" s="166"/>
      <c r="C43" s="35">
        <v>533</v>
      </c>
      <c r="D43" s="35">
        <v>556</v>
      </c>
      <c r="E43" s="35">
        <v>587</v>
      </c>
      <c r="F43" s="35">
        <v>606.4</v>
      </c>
      <c r="G43" s="17"/>
      <c r="H43" s="35">
        <v>632</v>
      </c>
      <c r="I43" s="35">
        <v>654</v>
      </c>
      <c r="J43" s="35">
        <v>675</v>
      </c>
      <c r="K43" s="35">
        <v>692</v>
      </c>
      <c r="L43" s="17"/>
      <c r="M43" s="35">
        <v>705</v>
      </c>
      <c r="N43" s="35">
        <v>723</v>
      </c>
      <c r="O43" s="35">
        <v>736</v>
      </c>
      <c r="P43" s="35">
        <v>750</v>
      </c>
      <c r="Q43" s="17"/>
      <c r="R43" s="35">
        <f>M43*(1+R44)</f>
        <v>774.65335061427606</v>
      </c>
      <c r="S43" s="35">
        <f t="shared" ref="S43" si="60">N43*(1+S44)</f>
        <v>791.41189855542689</v>
      </c>
      <c r="T43" s="35">
        <f t="shared" ref="T43" si="61">O43*(1+T44)</f>
        <v>803.63964098542294</v>
      </c>
      <c r="U43" s="35">
        <f t="shared" ref="U43" si="62">P43*(1+U44)</f>
        <v>819.21338629446029</v>
      </c>
      <c r="V43" s="17"/>
    </row>
    <row r="44" spans="1:22" outlineLevel="1" x14ac:dyDescent="0.3">
      <c r="A44" s="53" t="s">
        <v>147</v>
      </c>
      <c r="B44" s="166"/>
      <c r="C44" s="35"/>
      <c r="D44" s="35"/>
      <c r="E44" s="35"/>
      <c r="F44" s="35"/>
      <c r="G44" s="17"/>
      <c r="H44" s="69">
        <f>+H43/C43-1</f>
        <v>0.18574108818011248</v>
      </c>
      <c r="I44" s="69">
        <f>+I43/D43-1</f>
        <v>0.17625899280575541</v>
      </c>
      <c r="J44" s="69">
        <f>+J43/E43-1</f>
        <v>0.14991482112436105</v>
      </c>
      <c r="K44" s="69">
        <f>+K43/F43-1</f>
        <v>0.14116094986807393</v>
      </c>
      <c r="L44" s="17"/>
      <c r="M44" s="69">
        <f>+M43/H43-1</f>
        <v>0.115506329113924</v>
      </c>
      <c r="N44" s="69">
        <f>+N43/I43-1</f>
        <v>0.10550458715596323</v>
      </c>
      <c r="O44" s="69">
        <f>+O43/J43-1</f>
        <v>9.0370370370370434E-2</v>
      </c>
      <c r="P44" s="69">
        <f>+P43/K43-1</f>
        <v>8.381502890173409E-2</v>
      </c>
      <c r="Q44" s="17"/>
      <c r="R44" s="76">
        <f>AVERAGE(M44,N44,O44,P44)</f>
        <v>9.8799078885497937E-2</v>
      </c>
      <c r="S44" s="76">
        <f>AVERAGE(N44,O44,P44,R44)</f>
        <v>9.4622266328391422E-2</v>
      </c>
      <c r="T44" s="76">
        <f>AVERAGE(O44,P44,R44,S44)</f>
        <v>9.1901686121498474E-2</v>
      </c>
      <c r="U44" s="76">
        <f>AVERAGE(P44,R44,S44,T44)</f>
        <v>9.2284515059280481E-2</v>
      </c>
      <c r="V44" s="17"/>
    </row>
    <row r="45" spans="1:22" s="19" customFormat="1" outlineLevel="1" x14ac:dyDescent="0.3">
      <c r="A45" s="106" t="s">
        <v>143</v>
      </c>
      <c r="B45" s="42"/>
      <c r="C45" s="46">
        <f>+C37+C39+C41+C43</f>
        <v>1654</v>
      </c>
      <c r="D45" s="46">
        <f t="shared" ref="D45:F45" si="63">+D37+D39+D41+D43</f>
        <v>1712</v>
      </c>
      <c r="E45" s="46">
        <f t="shared" si="63"/>
        <v>1787</v>
      </c>
      <c r="F45" s="46">
        <f t="shared" si="63"/>
        <v>1859.8000000000002</v>
      </c>
      <c r="G45" s="202"/>
      <c r="H45" s="46">
        <f>+H37+H39+H41+H43</f>
        <v>1936</v>
      </c>
      <c r="I45" s="46">
        <f t="shared" ref="I45:K45" si="64">+I37+I39+I41+I43</f>
        <v>2006</v>
      </c>
      <c r="J45" s="46">
        <f t="shared" si="64"/>
        <v>2072</v>
      </c>
      <c r="K45" s="46">
        <f t="shared" si="64"/>
        <v>2129</v>
      </c>
      <c r="L45" s="202"/>
      <c r="M45" s="46">
        <f>+M37+M39+M41+M43</f>
        <v>2196</v>
      </c>
      <c r="N45" s="46">
        <f t="shared" ref="N45:P45" si="65">+N37+N39+N41+N43</f>
        <v>2234</v>
      </c>
      <c r="O45" s="46">
        <f t="shared" si="65"/>
        <v>2270</v>
      </c>
      <c r="P45" s="46">
        <f t="shared" si="65"/>
        <v>2320</v>
      </c>
      <c r="Q45" s="202"/>
      <c r="R45" s="46">
        <f>+R37+R39+R41+R43</f>
        <v>2401.593350614276</v>
      </c>
      <c r="S45" s="46">
        <f t="shared" ref="S45:U45" si="66">+S37+S39+S41+S43</f>
        <v>2448.0664656205613</v>
      </c>
      <c r="T45" s="46">
        <f t="shared" si="66"/>
        <v>2489.4124262088349</v>
      </c>
      <c r="U45" s="46">
        <f t="shared" si="66"/>
        <v>2540.9156352368645</v>
      </c>
      <c r="V45" s="202">
        <f>SUM(R45:U45)</f>
        <v>9879.9878776805363</v>
      </c>
    </row>
    <row r="46" spans="1:22" ht="17.399999999999999" x14ac:dyDescent="0.45">
      <c r="A46" s="211" t="s">
        <v>149</v>
      </c>
      <c r="B46" s="212"/>
      <c r="C46" s="33" t="s">
        <v>116</v>
      </c>
      <c r="D46" s="33" t="s">
        <v>117</v>
      </c>
      <c r="E46" s="33" t="s">
        <v>118</v>
      </c>
      <c r="F46" s="33" t="s">
        <v>119</v>
      </c>
      <c r="G46" s="124" t="s">
        <v>120</v>
      </c>
      <c r="H46" s="33" t="s">
        <v>107</v>
      </c>
      <c r="I46" s="33" t="s">
        <v>108</v>
      </c>
      <c r="J46" s="33" t="s">
        <v>109</v>
      </c>
      <c r="K46" s="33" t="s">
        <v>110</v>
      </c>
      <c r="L46" s="124" t="s">
        <v>111</v>
      </c>
      <c r="M46" s="33" t="s">
        <v>98</v>
      </c>
      <c r="N46" s="33" t="s">
        <v>97</v>
      </c>
      <c r="O46" s="33" t="s">
        <v>96</v>
      </c>
      <c r="P46" s="33" t="s">
        <v>95</v>
      </c>
      <c r="Q46" s="124" t="s">
        <v>94</v>
      </c>
      <c r="R46" s="31" t="s">
        <v>214</v>
      </c>
      <c r="S46" s="31" t="s">
        <v>215</v>
      </c>
      <c r="T46" s="31" t="s">
        <v>216</v>
      </c>
      <c r="U46" s="31" t="s">
        <v>217</v>
      </c>
      <c r="V46" s="127" t="s">
        <v>218</v>
      </c>
    </row>
    <row r="47" spans="1:22" ht="15.6" outlineLevel="1" x14ac:dyDescent="0.3">
      <c r="A47" s="92" t="s">
        <v>220</v>
      </c>
      <c r="B47" s="60"/>
      <c r="C47" s="51">
        <v>12.426303854875284</v>
      </c>
      <c r="D47" s="51">
        <v>14.339285714285714</v>
      </c>
      <c r="E47" s="51">
        <v>15.648351648351648</v>
      </c>
      <c r="F47" s="51">
        <v>19.808695652173913</v>
      </c>
      <c r="G47" s="17"/>
      <c r="H47" s="51">
        <v>17.07</v>
      </c>
      <c r="I47" s="51">
        <v>19.38</v>
      </c>
      <c r="J47" s="51">
        <v>21.2</v>
      </c>
      <c r="K47" s="51">
        <v>26.76</v>
      </c>
      <c r="L47" s="17"/>
      <c r="M47" s="51">
        <v>23.59</v>
      </c>
      <c r="N47" s="51">
        <v>25.91</v>
      </c>
      <c r="O47" s="51">
        <v>27.61</v>
      </c>
      <c r="P47" s="51">
        <v>34.86</v>
      </c>
      <c r="Q47" s="17"/>
      <c r="R47" s="51">
        <f>M47*(1+R48)</f>
        <v>29.487500000000001</v>
      </c>
      <c r="S47" s="51">
        <f t="shared" ref="S47" si="67">N47*(1+S48)</f>
        <v>31.869299999999999</v>
      </c>
      <c r="T47" s="51">
        <f t="shared" ref="T47" si="68">O47*(1+T48)</f>
        <v>34.325193056106833</v>
      </c>
      <c r="U47" s="51">
        <f t="shared" ref="U47" si="69">P47*(1+U48)</f>
        <v>42.962717047037962</v>
      </c>
      <c r="V47" s="17"/>
    </row>
    <row r="48" spans="1:22" ht="15.6" outlineLevel="1" x14ac:dyDescent="0.3">
      <c r="A48" s="53" t="s">
        <v>150</v>
      </c>
      <c r="B48" s="60"/>
      <c r="C48" s="51"/>
      <c r="D48" s="51"/>
      <c r="E48" s="51"/>
      <c r="F48" s="51"/>
      <c r="G48" s="17"/>
      <c r="H48" s="69">
        <f>+H47/C47-1</f>
        <v>0.373698905109489</v>
      </c>
      <c r="I48" s="69">
        <f t="shared" ref="I48:K48" si="70">+I47/D47-1</f>
        <v>0.35153175591531749</v>
      </c>
      <c r="J48" s="69">
        <f t="shared" si="70"/>
        <v>0.35477528089887644</v>
      </c>
      <c r="K48" s="69">
        <f t="shared" si="70"/>
        <v>0.35092186128182612</v>
      </c>
      <c r="L48" s="17"/>
      <c r="M48" s="69">
        <f>+M47/H47-1</f>
        <v>0.38195664909197413</v>
      </c>
      <c r="N48" s="69">
        <f t="shared" ref="N48" si="71">+N47/I47-1</f>
        <v>0.33694530443756454</v>
      </c>
      <c r="O48" s="69">
        <f t="shared" ref="O48" si="72">+O47/J47-1</f>
        <v>0.3023584905660377</v>
      </c>
      <c r="P48" s="69">
        <f t="shared" ref="P48" si="73">+P47/K47-1</f>
        <v>0.30269058295964113</v>
      </c>
      <c r="Q48" s="17"/>
      <c r="R48" s="76">
        <v>0.25</v>
      </c>
      <c r="S48" s="76">
        <v>0.23</v>
      </c>
      <c r="T48" s="76">
        <f>+O48*0.5+9.20367292228426%</f>
        <v>0.24321597450586147</v>
      </c>
      <c r="U48" s="76">
        <f>+P48*0.5+8.1090653644619%</f>
        <v>0.23243594512443955</v>
      </c>
      <c r="V48" s="17"/>
    </row>
    <row r="49" spans="1:22" outlineLevel="1" x14ac:dyDescent="0.3">
      <c r="A49" s="92" t="s">
        <v>222</v>
      </c>
      <c r="B49" s="93"/>
      <c r="C49" s="51">
        <v>3.9847560975609757</v>
      </c>
      <c r="D49" s="51">
        <v>4.7242921013412813</v>
      </c>
      <c r="E49" s="51">
        <v>4.7205882352941178</v>
      </c>
      <c r="F49" s="51">
        <v>5.9768451519536905</v>
      </c>
      <c r="G49" s="17"/>
      <c r="H49" s="51">
        <v>5.42</v>
      </c>
      <c r="I49" s="51">
        <v>6.28</v>
      </c>
      <c r="J49" s="51">
        <v>6.85</v>
      </c>
      <c r="K49" s="51">
        <v>8.86</v>
      </c>
      <c r="L49" s="17"/>
      <c r="M49" s="51">
        <v>8.1199999999999992</v>
      </c>
      <c r="N49" s="51">
        <v>8.76</v>
      </c>
      <c r="O49" s="51">
        <v>8.82</v>
      </c>
      <c r="P49" s="51">
        <v>10.98</v>
      </c>
      <c r="Q49" s="17"/>
      <c r="R49" s="51">
        <f>M49*(1+R50)</f>
        <v>9.8251999999999988</v>
      </c>
      <c r="S49" s="51">
        <f t="shared" ref="S49" si="74">N49*(1+S50)</f>
        <v>10.48968152866242</v>
      </c>
      <c r="T49" s="51">
        <f t="shared" ref="T49" si="75">O49*(1+T50)</f>
        <v>10.088277372262775</v>
      </c>
      <c r="U49" s="51">
        <f t="shared" ref="U49" si="76">P49*(1+U50)</f>
        <v>11.968200000000001</v>
      </c>
      <c r="V49" s="17"/>
    </row>
    <row r="50" spans="1:22" outlineLevel="1" x14ac:dyDescent="0.3">
      <c r="A50" s="53" t="s">
        <v>151</v>
      </c>
      <c r="B50" s="93"/>
      <c r="C50" s="51"/>
      <c r="D50" s="51"/>
      <c r="E50" s="51"/>
      <c r="F50" s="51"/>
      <c r="G50" s="17"/>
      <c r="H50" s="69">
        <f>+H49/C49-1</f>
        <v>0.36018362662586068</v>
      </c>
      <c r="I50" s="69">
        <f t="shared" ref="I50" si="77">+I49/D49-1</f>
        <v>0.32929968454258685</v>
      </c>
      <c r="J50" s="69">
        <f t="shared" ref="J50" si="78">+J49/E49-1</f>
        <v>0.45109034267912751</v>
      </c>
      <c r="K50" s="69">
        <f t="shared" ref="K50" si="79">+K49/F49-1</f>
        <v>0.48238740920096834</v>
      </c>
      <c r="L50" s="17"/>
      <c r="M50" s="69">
        <f>+M49/H49-1</f>
        <v>0.49815498154981541</v>
      </c>
      <c r="N50" s="69">
        <f t="shared" ref="N50" si="80">+N49/I49-1</f>
        <v>0.39490445859872603</v>
      </c>
      <c r="O50" s="69">
        <f t="shared" ref="O50" si="81">+O49/J49-1</f>
        <v>0.28759124087591248</v>
      </c>
      <c r="P50" s="69">
        <f t="shared" ref="P50" si="82">+P49/K49-1</f>
        <v>0.23927765237020338</v>
      </c>
      <c r="Q50" s="17"/>
      <c r="R50" s="76">
        <v>0.21</v>
      </c>
      <c r="S50" s="76">
        <f t="shared" ref="S50" si="83">+N50*0.5</f>
        <v>0.19745222929936301</v>
      </c>
      <c r="T50" s="76">
        <f t="shared" ref="T50" si="84">+O50*0.5</f>
        <v>0.14379562043795624</v>
      </c>
      <c r="U50" s="76">
        <v>0.09</v>
      </c>
      <c r="V50" s="17"/>
    </row>
    <row r="51" spans="1:22" outlineLevel="1" x14ac:dyDescent="0.3">
      <c r="A51" s="92" t="s">
        <v>152</v>
      </c>
      <c r="B51" s="93"/>
      <c r="C51" s="51">
        <v>1.5587703435804701</v>
      </c>
      <c r="D51" s="51">
        <v>1.770293609671848</v>
      </c>
      <c r="E51" s="51">
        <v>1.8902538902538903</v>
      </c>
      <c r="F51" s="51">
        <v>2.0715601965601964</v>
      </c>
      <c r="G51" s="17"/>
      <c r="H51" s="51">
        <v>1.98</v>
      </c>
      <c r="I51" s="51">
        <v>2.13</v>
      </c>
      <c r="J51" s="51">
        <v>2.27</v>
      </c>
      <c r="K51" s="51">
        <v>2.54</v>
      </c>
      <c r="L51" s="17"/>
      <c r="M51" s="51">
        <v>2.46</v>
      </c>
      <c r="N51" s="51">
        <v>2.62</v>
      </c>
      <c r="O51" s="51">
        <v>2.67</v>
      </c>
      <c r="P51" s="51">
        <v>2.96</v>
      </c>
      <c r="Q51" s="17"/>
      <c r="R51" s="51">
        <f>M51*(1+R52)</f>
        <v>2.8535999999999997</v>
      </c>
      <c r="S51" s="51">
        <f t="shared" ref="S51" si="85">N51*(1+S52)</f>
        <v>2.9344000000000006</v>
      </c>
      <c r="T51" s="51">
        <f t="shared" ref="T51" si="86">O51*(1+T52)</f>
        <v>2.9370000000000003</v>
      </c>
      <c r="U51" s="51">
        <f t="shared" ref="U51" si="87">P51*(1+U52)</f>
        <v>3.2047244094488185</v>
      </c>
      <c r="V51" s="17"/>
    </row>
    <row r="52" spans="1:22" outlineLevel="1" x14ac:dyDescent="0.3">
      <c r="A52" s="53" t="s">
        <v>152</v>
      </c>
      <c r="B52" s="93"/>
      <c r="C52" s="51"/>
      <c r="D52" s="51"/>
      <c r="E52" s="51"/>
      <c r="F52" s="51"/>
      <c r="G52" s="17"/>
      <c r="H52" s="69">
        <f>+H51/C51-1</f>
        <v>0.27023201856148504</v>
      </c>
      <c r="I52" s="69">
        <f t="shared" ref="I52" si="88">+I51/D51-1</f>
        <v>0.20319024390243889</v>
      </c>
      <c r="J52" s="69">
        <f t="shared" ref="J52" si="89">+J51/E51-1</f>
        <v>0.20089688041594456</v>
      </c>
      <c r="K52" s="69">
        <f t="shared" ref="K52" si="90">+K51/F51-1</f>
        <v>0.22612898443291329</v>
      </c>
      <c r="L52" s="17"/>
      <c r="M52" s="69">
        <f>+M51/H51-1</f>
        <v>0.24242424242424243</v>
      </c>
      <c r="N52" s="69">
        <f t="shared" ref="N52" si="91">+N51/I51-1</f>
        <v>0.23004694835680772</v>
      </c>
      <c r="O52" s="69">
        <f t="shared" ref="O52" si="92">+O51/J51-1</f>
        <v>0.17621145374449343</v>
      </c>
      <c r="P52" s="69">
        <f t="shared" ref="P52" si="93">+P51/K51-1</f>
        <v>0.16535433070866135</v>
      </c>
      <c r="Q52" s="17"/>
      <c r="R52" s="76">
        <v>0.16</v>
      </c>
      <c r="S52" s="76">
        <v>0.12</v>
      </c>
      <c r="T52" s="76">
        <v>0.1</v>
      </c>
      <c r="U52" s="76">
        <f t="shared" ref="U52" si="94">+P52*0.5</f>
        <v>8.2677165354330673E-2</v>
      </c>
      <c r="V52" s="17"/>
    </row>
    <row r="53" spans="1:22" outlineLevel="1" x14ac:dyDescent="0.3">
      <c r="A53" s="92" t="s">
        <v>153</v>
      </c>
      <c r="B53" s="93"/>
      <c r="C53" s="51">
        <v>0.90786948176583493</v>
      </c>
      <c r="D53" s="51">
        <v>1.1276400367309458</v>
      </c>
      <c r="E53" s="51">
        <v>1.2108486439195101</v>
      </c>
      <c r="F53" s="51">
        <v>1.4060667001843472</v>
      </c>
      <c r="G53" s="17"/>
      <c r="H53" s="51">
        <v>1.27</v>
      </c>
      <c r="I53" s="51">
        <v>1.48</v>
      </c>
      <c r="J53" s="51">
        <v>1.59</v>
      </c>
      <c r="K53" s="51">
        <v>1.86</v>
      </c>
      <c r="L53" s="17"/>
      <c r="M53" s="51">
        <v>1.68</v>
      </c>
      <c r="N53" s="51">
        <v>1.91</v>
      </c>
      <c r="O53" s="51">
        <v>1.82</v>
      </c>
      <c r="P53" s="51">
        <v>2.11</v>
      </c>
      <c r="Q53" s="17"/>
      <c r="R53" s="51">
        <f>M53*(1+R54)</f>
        <v>1.9152000000000002</v>
      </c>
      <c r="S53" s="51">
        <f t="shared" ref="S53" si="95">N53*(1+S54)</f>
        <v>2.1678500000000001</v>
      </c>
      <c r="T53" s="51">
        <f t="shared" ref="T53" si="96">O53*(1+T54)</f>
        <v>1.9656000000000002</v>
      </c>
      <c r="U53" s="51">
        <f t="shared" ref="U53" si="97">P53*(1+U54)</f>
        <v>2.2787999999999999</v>
      </c>
      <c r="V53" s="17"/>
    </row>
    <row r="54" spans="1:22" ht="16.2" outlineLevel="1" x14ac:dyDescent="0.45">
      <c r="A54" s="53" t="s">
        <v>153</v>
      </c>
      <c r="B54" s="93"/>
      <c r="C54" s="167"/>
      <c r="D54" s="167"/>
      <c r="E54" s="167"/>
      <c r="F54" s="167"/>
      <c r="G54" s="168"/>
      <c r="H54" s="69">
        <f>+H53/C53-1</f>
        <v>0.39887949260042288</v>
      </c>
      <c r="I54" s="69">
        <f t="shared" ref="I54" si="98">+I53/D53-1</f>
        <v>0.3124755700325732</v>
      </c>
      <c r="J54" s="69">
        <f t="shared" ref="J54" si="99">+J53/E53-1</f>
        <v>0.31312861271676296</v>
      </c>
      <c r="K54" s="69">
        <f t="shared" ref="K54" si="100">+K53/F53-1</f>
        <v>0.32283909415971412</v>
      </c>
      <c r="L54" s="168"/>
      <c r="M54" s="69">
        <f>+M53/H53-1</f>
        <v>0.32283464566929121</v>
      </c>
      <c r="N54" s="69">
        <f t="shared" ref="N54" si="101">+N53/I53-1</f>
        <v>0.29054054054054057</v>
      </c>
      <c r="O54" s="69">
        <f t="shared" ref="O54" si="102">+O53/J53-1</f>
        <v>0.14465408805031443</v>
      </c>
      <c r="P54" s="69">
        <f t="shared" ref="P54" si="103">+P53/K53-1</f>
        <v>0.13440860215053752</v>
      </c>
      <c r="Q54" s="168"/>
      <c r="R54" s="76">
        <v>0.14000000000000001</v>
      </c>
      <c r="S54" s="76">
        <v>0.13500000000000001</v>
      </c>
      <c r="T54" s="76">
        <v>0.08</v>
      </c>
      <c r="U54" s="76">
        <v>0.08</v>
      </c>
      <c r="V54" s="168"/>
    </row>
    <row r="55" spans="1:22" outlineLevel="1" x14ac:dyDescent="0.3">
      <c r="A55" s="106" t="s">
        <v>154</v>
      </c>
      <c r="B55" s="93"/>
      <c r="C55" s="49"/>
      <c r="D55" s="49">
        <f>+D35/((C45+D45)/2)</f>
        <v>3.8241235888294711</v>
      </c>
      <c r="E55" s="49">
        <f t="shared" ref="E55:F55" si="104">+E35/((D45+E45)/2)</f>
        <v>4.007430694484138</v>
      </c>
      <c r="F55" s="49">
        <f t="shared" si="104"/>
        <v>4.831084786662279</v>
      </c>
      <c r="G55" s="202"/>
      <c r="H55" s="49">
        <f>+H35/((F45+H45)/2)</f>
        <v>4.2320459455187311</v>
      </c>
      <c r="I55" s="49">
        <f>+I35/((H45+I45)/2)</f>
        <v>4.7290715372907153</v>
      </c>
      <c r="J55" s="49">
        <f t="shared" ref="J55:K55" si="105">+J35/((I45+J45)/2)</f>
        <v>5.0652280529671412</v>
      </c>
      <c r="K55" s="49">
        <f t="shared" si="105"/>
        <v>6.1756724589383483</v>
      </c>
      <c r="L55" s="202"/>
      <c r="M55" s="49">
        <f>+M35/((K45+M45)/2)</f>
        <v>5.5334104046242771</v>
      </c>
      <c r="N55" s="49">
        <f>+N35/((M45+N45)/2)</f>
        <v>5.9733634311512418</v>
      </c>
      <c r="O55" s="49">
        <f t="shared" ref="O55:P55" si="106">+O35/((N45+O45)/2)</f>
        <v>6.0954706927175843</v>
      </c>
      <c r="P55" s="49">
        <f t="shared" si="106"/>
        <v>7.3699346405228754</v>
      </c>
      <c r="Q55" s="202"/>
      <c r="R55" s="49">
        <f>+R35/((P45+R45)/2)</f>
        <v>6.4246293197083491</v>
      </c>
      <c r="S55" s="49">
        <f>+S35/((R45+S45)/2)</f>
        <v>6.8076705749692064</v>
      </c>
      <c r="T55" s="49">
        <f t="shared" ref="T55:U55" si="107">+T35/((S45+T45)/2)</f>
        <v>6.8619031056575572</v>
      </c>
      <c r="U55" s="49">
        <f t="shared" si="107"/>
        <v>8.143590890650577</v>
      </c>
      <c r="V55" s="202">
        <f>SUM(R55:U55)</f>
        <v>28.237793890985692</v>
      </c>
    </row>
    <row r="56" spans="1:22" ht="17.399999999999999" x14ac:dyDescent="0.45">
      <c r="A56" s="211" t="s">
        <v>93</v>
      </c>
      <c r="B56" s="212"/>
      <c r="C56" s="33" t="s">
        <v>116</v>
      </c>
      <c r="D56" s="33" t="s">
        <v>117</v>
      </c>
      <c r="E56" s="33" t="s">
        <v>118</v>
      </c>
      <c r="F56" s="33" t="s">
        <v>119</v>
      </c>
      <c r="G56" s="124" t="s">
        <v>120</v>
      </c>
      <c r="H56" s="33" t="s">
        <v>107</v>
      </c>
      <c r="I56" s="33" t="s">
        <v>108</v>
      </c>
      <c r="J56" s="33" t="s">
        <v>109</v>
      </c>
      <c r="K56" s="33" t="s">
        <v>110</v>
      </c>
      <c r="L56" s="124" t="s">
        <v>111</v>
      </c>
      <c r="M56" s="33" t="s">
        <v>98</v>
      </c>
      <c r="N56" s="33" t="s">
        <v>97</v>
      </c>
      <c r="O56" s="33" t="s">
        <v>96</v>
      </c>
      <c r="P56" s="33" t="s">
        <v>95</v>
      </c>
      <c r="Q56" s="124" t="s">
        <v>94</v>
      </c>
      <c r="R56" s="31" t="s">
        <v>214</v>
      </c>
      <c r="S56" s="31" t="s">
        <v>215</v>
      </c>
      <c r="T56" s="31" t="s">
        <v>216</v>
      </c>
      <c r="U56" s="31" t="s">
        <v>217</v>
      </c>
      <c r="V56" s="127" t="s">
        <v>218</v>
      </c>
    </row>
    <row r="57" spans="1:22" s="66" customFormat="1" ht="15.45" customHeight="1" outlineLevel="1" x14ac:dyDescent="0.3">
      <c r="A57" s="92" t="s">
        <v>53</v>
      </c>
      <c r="B57" s="60"/>
      <c r="C57" s="51">
        <f>+C35-C8</f>
        <v>0</v>
      </c>
      <c r="D57" s="51">
        <f t="shared" ref="D57:F57" si="108">+D35-D8</f>
        <v>0</v>
      </c>
      <c r="E57" s="51">
        <f t="shared" si="108"/>
        <v>0</v>
      </c>
      <c r="F57" s="51">
        <f t="shared" si="108"/>
        <v>0</v>
      </c>
      <c r="G57" s="17"/>
      <c r="H57" s="51">
        <f>+H35-H8</f>
        <v>0</v>
      </c>
      <c r="I57" s="51">
        <f t="shared" ref="I57:K57" si="109">+I35-I8</f>
        <v>0</v>
      </c>
      <c r="J57" s="51">
        <f t="shared" si="109"/>
        <v>0</v>
      </c>
      <c r="K57" s="51">
        <f t="shared" si="109"/>
        <v>0</v>
      </c>
      <c r="L57" s="17"/>
      <c r="M57" s="51">
        <f>+M35-M8</f>
        <v>0</v>
      </c>
      <c r="N57" s="51">
        <f t="shared" ref="N57:P57" si="110">+N35-N8</f>
        <v>0</v>
      </c>
      <c r="O57" s="51">
        <f t="shared" si="110"/>
        <v>0</v>
      </c>
      <c r="P57" s="51">
        <f t="shared" si="110"/>
        <v>0</v>
      </c>
      <c r="Q57" s="17"/>
      <c r="R57" s="51">
        <f>+R35-R8</f>
        <v>0</v>
      </c>
      <c r="S57" s="51">
        <f t="shared" ref="S57:U57" si="111">+S35-S8</f>
        <v>0</v>
      </c>
      <c r="T57" s="51">
        <f t="shared" si="111"/>
        <v>0</v>
      </c>
      <c r="U57" s="51">
        <f t="shared" si="111"/>
        <v>0</v>
      </c>
      <c r="V57" s="17"/>
    </row>
    <row r="58" spans="1:22" ht="15" customHeight="1" x14ac:dyDescent="0.45">
      <c r="A58" s="211" t="s">
        <v>46</v>
      </c>
      <c r="B58" s="212"/>
      <c r="C58" s="33" t="s">
        <v>116</v>
      </c>
      <c r="D58" s="33" t="s">
        <v>117</v>
      </c>
      <c r="E58" s="33" t="s">
        <v>118</v>
      </c>
      <c r="F58" s="33" t="s">
        <v>119</v>
      </c>
      <c r="G58" s="124" t="s">
        <v>120</v>
      </c>
      <c r="H58" s="33" t="s">
        <v>107</v>
      </c>
      <c r="I58" s="33" t="s">
        <v>108</v>
      </c>
      <c r="J58" s="33" t="s">
        <v>109</v>
      </c>
      <c r="K58" s="33" t="s">
        <v>110</v>
      </c>
      <c r="L58" s="124" t="s">
        <v>111</v>
      </c>
      <c r="M58" s="33" t="s">
        <v>98</v>
      </c>
      <c r="N58" s="33" t="s">
        <v>97</v>
      </c>
      <c r="O58" s="33" t="s">
        <v>96</v>
      </c>
      <c r="P58" s="33" t="s">
        <v>95</v>
      </c>
      <c r="Q58" s="124" t="s">
        <v>94</v>
      </c>
      <c r="R58" s="31" t="s">
        <v>214</v>
      </c>
      <c r="S58" s="31" t="s">
        <v>215</v>
      </c>
      <c r="T58" s="31" t="s">
        <v>216</v>
      </c>
      <c r="U58" s="31" t="s">
        <v>217</v>
      </c>
      <c r="V58" s="127" t="s">
        <v>218</v>
      </c>
    </row>
    <row r="59" spans="1:22" s="48" customFormat="1" outlineLevel="1" x14ac:dyDescent="0.3">
      <c r="A59" s="203" t="s">
        <v>208</v>
      </c>
      <c r="B59" s="204"/>
      <c r="C59" s="69"/>
      <c r="D59" s="69"/>
      <c r="E59" s="69"/>
      <c r="F59" s="69"/>
      <c r="G59" s="67"/>
      <c r="H59" s="69">
        <f t="shared" ref="H59:V59" si="112">H8/C8-1</f>
        <v>0.49238201412114457</v>
      </c>
      <c r="I59" s="69">
        <f t="shared" si="112"/>
        <v>0.44825978868862637</v>
      </c>
      <c r="J59" s="69">
        <f t="shared" si="112"/>
        <v>0.47311367850520614</v>
      </c>
      <c r="K59" s="69">
        <f t="shared" si="112"/>
        <v>0.47258485639686687</v>
      </c>
      <c r="L59" s="67">
        <f t="shared" si="112"/>
        <v>0.47090961719371882</v>
      </c>
      <c r="M59" s="69">
        <f t="shared" si="112"/>
        <v>0.48979083665338652</v>
      </c>
      <c r="N59" s="69">
        <f t="shared" si="112"/>
        <v>0.41948288810213485</v>
      </c>
      <c r="O59" s="69">
        <f t="shared" si="112"/>
        <v>0.32910534469403574</v>
      </c>
      <c r="P59" s="69">
        <f t="shared" si="112"/>
        <v>0.30388529139685483</v>
      </c>
      <c r="Q59" s="68">
        <f t="shared" si="112"/>
        <v>0.37352716896661997</v>
      </c>
      <c r="R59" s="69">
        <f t="shared" si="112"/>
        <v>0.26752829166373293</v>
      </c>
      <c r="S59" s="69">
        <f t="shared" si="112"/>
        <v>0.24763383076080681</v>
      </c>
      <c r="T59" s="69">
        <f t="shared" si="112"/>
        <v>0.2340825286647763</v>
      </c>
      <c r="U59" s="69">
        <f t="shared" si="112"/>
        <v>0.21097711298844657</v>
      </c>
      <c r="V59" s="68">
        <f t="shared" si="112"/>
        <v>0.23746202430087826</v>
      </c>
    </row>
    <row r="60" spans="1:22" s="48" customFormat="1" outlineLevel="1" x14ac:dyDescent="0.3">
      <c r="A60" s="203" t="s">
        <v>209</v>
      </c>
      <c r="B60" s="204"/>
      <c r="C60" s="69"/>
      <c r="D60" s="69">
        <f>+D8/C8-1</f>
        <v>0.19583797844667417</v>
      </c>
      <c r="E60" s="69">
        <f t="shared" ref="E60:K60" si="113">+E8/D8-1</f>
        <v>8.9341205717837102E-2</v>
      </c>
      <c r="F60" s="69">
        <f t="shared" si="113"/>
        <v>0.25645414348880324</v>
      </c>
      <c r="G60" s="67"/>
      <c r="H60" s="69">
        <f>+H8/F8-1</f>
        <v>-8.8205244636167524E-2</v>
      </c>
      <c r="I60" s="69">
        <f t="shared" si="113"/>
        <v>0.16048306772908361</v>
      </c>
      <c r="J60" s="69">
        <f t="shared" si="113"/>
        <v>0.10803561849586951</v>
      </c>
      <c r="K60" s="69">
        <f t="shared" si="113"/>
        <v>0.25600309837335389</v>
      </c>
      <c r="L60" s="67"/>
      <c r="M60" s="69">
        <f>+M8/K8-1</f>
        <v>-7.755164970706141E-2</v>
      </c>
      <c r="N60" s="69">
        <f t="shared" ref="N60:P60" si="114">+N8/M8-1</f>
        <v>0.10571619588835035</v>
      </c>
      <c r="O60" s="69">
        <f t="shared" si="114"/>
        <v>3.7487718237472656E-2</v>
      </c>
      <c r="P60" s="69">
        <f t="shared" si="114"/>
        <v>0.23217017556640207</v>
      </c>
      <c r="Q60" s="68"/>
      <c r="R60" s="69">
        <f>+R8/P8-1</f>
        <v>-0.10327281908193042</v>
      </c>
      <c r="S60" s="69">
        <f t="shared" ref="S60:U60" si="115">+S8/R8-1</f>
        <v>8.8361452981618571E-2</v>
      </c>
      <c r="T60" s="69">
        <f t="shared" si="115"/>
        <v>2.6218939574919053E-2</v>
      </c>
      <c r="U60" s="69">
        <f t="shared" si="115"/>
        <v>0.20910056439441593</v>
      </c>
      <c r="V60" s="68"/>
    </row>
    <row r="61" spans="1:22" s="48" customFormat="1" outlineLevel="1" x14ac:dyDescent="0.3">
      <c r="A61" s="92" t="s">
        <v>212</v>
      </c>
      <c r="B61" s="93"/>
      <c r="C61" s="69"/>
      <c r="D61" s="69"/>
      <c r="E61" s="69"/>
      <c r="F61" s="69"/>
      <c r="G61" s="67"/>
      <c r="H61" s="69"/>
      <c r="I61" s="69"/>
      <c r="J61" s="69"/>
      <c r="K61" s="69"/>
      <c r="L61" s="67"/>
      <c r="M61" s="195">
        <f>+M79+M8</f>
        <v>11430</v>
      </c>
      <c r="N61" s="195">
        <f t="shared" ref="N61:U61" si="116">+N79+N8</f>
        <v>12858</v>
      </c>
      <c r="O61" s="195">
        <f t="shared" si="116"/>
        <v>13886</v>
      </c>
      <c r="P61" s="195">
        <f t="shared" si="116"/>
        <v>17262</v>
      </c>
      <c r="Q61" s="68"/>
      <c r="R61" s="35">
        <f t="shared" si="116"/>
        <v>15917.243538048229</v>
      </c>
      <c r="S61" s="35">
        <f t="shared" si="116"/>
        <v>16757.443214796236</v>
      </c>
      <c r="T61" s="35">
        <f t="shared" si="116"/>
        <v>16940.250870981385</v>
      </c>
      <c r="U61" s="35">
        <f t="shared" si="116"/>
        <v>20482.466889086587</v>
      </c>
      <c r="V61" s="68"/>
    </row>
    <row r="62" spans="1:22" s="48" customFormat="1" outlineLevel="1" x14ac:dyDescent="0.3">
      <c r="A62" s="203" t="s">
        <v>210</v>
      </c>
      <c r="B62" s="204"/>
      <c r="C62" s="69"/>
      <c r="D62" s="69"/>
      <c r="E62" s="69"/>
      <c r="F62" s="69"/>
      <c r="G62" s="67"/>
      <c r="H62" s="69"/>
      <c r="I62" s="69"/>
      <c r="J62" s="69"/>
      <c r="K62" s="69"/>
      <c r="L62" s="67"/>
      <c r="M62" s="69"/>
      <c r="N62" s="69"/>
      <c r="O62" s="69"/>
      <c r="P62" s="69"/>
      <c r="Q62" s="68">
        <f>+(Q8+Q79)/(L8+L79)-1</f>
        <v>0.36366319828794924</v>
      </c>
      <c r="R62" s="69">
        <f>+R61/M61-1</f>
        <v>0.39258473648715908</v>
      </c>
      <c r="S62" s="69">
        <f t="shared" ref="S62:U62" si="117">+S61/N61-1</f>
        <v>0.30326980983016294</v>
      </c>
      <c r="T62" s="69">
        <f t="shared" si="117"/>
        <v>0.2199518126876987</v>
      </c>
      <c r="U62" s="69">
        <f t="shared" si="117"/>
        <v>0.18656394908391771</v>
      </c>
      <c r="V62" s="188">
        <f>+(V8+V79)/(Q8+Q79)-1</f>
        <v>0.26445162099162012</v>
      </c>
    </row>
    <row r="63" spans="1:22" s="48" customFormat="1" outlineLevel="1" x14ac:dyDescent="0.3">
      <c r="A63" s="203" t="s">
        <v>211</v>
      </c>
      <c r="B63" s="204"/>
      <c r="C63" s="69"/>
      <c r="D63" s="69"/>
      <c r="E63" s="69"/>
      <c r="F63" s="69"/>
      <c r="G63" s="67"/>
      <c r="H63" s="69"/>
      <c r="I63" s="69"/>
      <c r="J63" s="69"/>
      <c r="K63" s="69"/>
      <c r="L63" s="67"/>
      <c r="M63" s="69"/>
      <c r="N63" s="69"/>
      <c r="O63" s="69"/>
      <c r="P63" s="69"/>
      <c r="Q63" s="68"/>
      <c r="R63" s="69">
        <f>+R61/P61-1</f>
        <v>-7.7902703160223075E-2</v>
      </c>
      <c r="S63" s="69">
        <f>+S61/R61-1</f>
        <v>5.2785501128987056E-2</v>
      </c>
      <c r="T63" s="69">
        <f t="shared" ref="T63:U63" si="118">+T61/S61-1</f>
        <v>1.090904225912781E-2</v>
      </c>
      <c r="U63" s="69">
        <f t="shared" si="118"/>
        <v>0.20910056439441593</v>
      </c>
      <c r="V63" s="188"/>
    </row>
    <row r="64" spans="1:22" s="48" customFormat="1" outlineLevel="1" x14ac:dyDescent="0.3">
      <c r="A64" s="92" t="s">
        <v>155</v>
      </c>
      <c r="B64" s="93"/>
      <c r="C64" s="69">
        <f t="shared" ref="C64:Q64" si="119">+C10/C8</f>
        <v>0.84429580081753997</v>
      </c>
      <c r="D64" s="69">
        <f t="shared" si="119"/>
        <v>0.8576755748912368</v>
      </c>
      <c r="E64" s="69">
        <f t="shared" si="119"/>
        <v>0.85922122379118526</v>
      </c>
      <c r="F64" s="69">
        <f t="shared" si="119"/>
        <v>0.88103076399137248</v>
      </c>
      <c r="G64" s="67">
        <f t="shared" si="119"/>
        <v>0.86290614371517471</v>
      </c>
      <c r="H64" s="69">
        <f t="shared" si="119"/>
        <v>0.85570219123505975</v>
      </c>
      <c r="I64" s="69">
        <f t="shared" si="119"/>
        <v>0.86728891749812254</v>
      </c>
      <c r="J64" s="69">
        <f t="shared" si="119"/>
        <v>0.85979860573199074</v>
      </c>
      <c r="K64" s="69">
        <f t="shared" si="119"/>
        <v>0.87580943570767811</v>
      </c>
      <c r="L64" s="67">
        <f t="shared" si="119"/>
        <v>0.86581556096721024</v>
      </c>
      <c r="M64" s="69">
        <f t="shared" si="119"/>
        <v>0.8389603877653351</v>
      </c>
      <c r="N64" s="69">
        <f t="shared" si="119"/>
        <v>0.83266570931902351</v>
      </c>
      <c r="O64" s="69">
        <f t="shared" si="119"/>
        <v>0.82385080498288044</v>
      </c>
      <c r="P64" s="69">
        <f t="shared" si="119"/>
        <v>0.83469315360056762</v>
      </c>
      <c r="Q64" s="68">
        <f t="shared" si="119"/>
        <v>0.8324617643898421</v>
      </c>
      <c r="R64" s="65">
        <v>0.80940000000000001</v>
      </c>
      <c r="S64" s="65">
        <v>0.80649999999999999</v>
      </c>
      <c r="T64" s="65">
        <v>0.80089999999999995</v>
      </c>
      <c r="U64" s="65">
        <v>0.80900000000000005</v>
      </c>
      <c r="V64" s="68">
        <f>+V10/V8</f>
        <v>0.80650471462868767</v>
      </c>
    </row>
    <row r="65" spans="1:22" s="48" customFormat="1" outlineLevel="1" x14ac:dyDescent="0.3">
      <c r="A65" s="92" t="s">
        <v>156</v>
      </c>
      <c r="B65" s="93"/>
      <c r="C65" s="69">
        <f t="shared" ref="C65:Q65" si="120">+C12/C8</f>
        <v>0.24953548866592346</v>
      </c>
      <c r="D65" s="69">
        <f t="shared" si="120"/>
        <v>0.22731510254816656</v>
      </c>
      <c r="E65" s="69">
        <f t="shared" si="120"/>
        <v>0.21951219512195122</v>
      </c>
      <c r="F65" s="69">
        <f t="shared" si="120"/>
        <v>0.17868089453967534</v>
      </c>
      <c r="G65" s="67">
        <f t="shared" si="120"/>
        <v>0.21416166148057023</v>
      </c>
      <c r="H65" s="69">
        <f t="shared" si="120"/>
        <v>0.22833665338645417</v>
      </c>
      <c r="I65" s="69">
        <f t="shared" si="120"/>
        <v>0.20587919751099668</v>
      </c>
      <c r="J65" s="69">
        <f t="shared" si="120"/>
        <v>0.19868319132455461</v>
      </c>
      <c r="K65" s="69">
        <f t="shared" si="120"/>
        <v>0.15024668516805428</v>
      </c>
      <c r="L65" s="67">
        <f t="shared" si="120"/>
        <v>0.19073623102846038</v>
      </c>
      <c r="M65" s="69">
        <f t="shared" si="120"/>
        <v>0.18702991810128697</v>
      </c>
      <c r="N65" s="69">
        <f t="shared" si="120"/>
        <v>0.19068853450230519</v>
      </c>
      <c r="O65" s="69">
        <f t="shared" si="120"/>
        <v>0.19356013695636337</v>
      </c>
      <c r="P65" s="69">
        <f t="shared" si="120"/>
        <v>0.16879508099798984</v>
      </c>
      <c r="Q65" s="68">
        <f t="shared" si="120"/>
        <v>0.18397865253053475</v>
      </c>
      <c r="R65" s="76">
        <v>0.19500000000000001</v>
      </c>
      <c r="S65" s="76">
        <f>AVERAGE(N65,O65,P65,R65)+0.266226246298171%</f>
        <v>0.18967320057714634</v>
      </c>
      <c r="T65" s="76">
        <f>AVERAGE(O65,P65,R65,S65)+1.48297544743021%</f>
        <v>0.201586859107177</v>
      </c>
      <c r="U65" s="76">
        <v>0.20499999999999999</v>
      </c>
      <c r="V65" s="68"/>
    </row>
    <row r="66" spans="1:22" s="48" customFormat="1" outlineLevel="1" x14ac:dyDescent="0.3">
      <c r="A66" s="92" t="s">
        <v>157</v>
      </c>
      <c r="B66" s="93"/>
      <c r="C66" s="69">
        <f t="shared" ref="C66:Q66" si="121">+C13/C8</f>
        <v>0.15347454477889261</v>
      </c>
      <c r="D66" s="69">
        <f t="shared" si="121"/>
        <v>0.1396830329397141</v>
      </c>
      <c r="E66" s="69">
        <f t="shared" si="121"/>
        <v>0.13193552988161461</v>
      </c>
      <c r="F66" s="69">
        <f t="shared" si="121"/>
        <v>0.12736973549778635</v>
      </c>
      <c r="G66" s="67">
        <f t="shared" si="121"/>
        <v>0.13647876112598595</v>
      </c>
      <c r="H66" s="69">
        <f t="shared" si="121"/>
        <v>0.13159860557768924</v>
      </c>
      <c r="I66" s="69">
        <f t="shared" si="121"/>
        <v>0.12058791975109967</v>
      </c>
      <c r="J66" s="69">
        <f t="shared" si="121"/>
        <v>0.11328427575522851</v>
      </c>
      <c r="K66" s="69">
        <f t="shared" si="121"/>
        <v>0.1059204440333025</v>
      </c>
      <c r="L66" s="67">
        <f t="shared" si="121"/>
        <v>0.1162275846800974</v>
      </c>
      <c r="M66" s="69">
        <f t="shared" si="121"/>
        <v>0.13329433394618084</v>
      </c>
      <c r="N66" s="69">
        <f t="shared" si="121"/>
        <v>0.14020104300506386</v>
      </c>
      <c r="O66" s="69">
        <f t="shared" si="121"/>
        <v>0.14045312158519704</v>
      </c>
      <c r="P66" s="69">
        <f t="shared" si="121"/>
        <v>0.14585550431595129</v>
      </c>
      <c r="Q66" s="68">
        <f t="shared" si="121"/>
        <v>0.14049571976073641</v>
      </c>
      <c r="R66" s="76">
        <v>0.18</v>
      </c>
      <c r="S66" s="76">
        <v>0.17</v>
      </c>
      <c r="T66" s="76">
        <v>0.17</v>
      </c>
      <c r="U66" s="76">
        <v>0.18</v>
      </c>
      <c r="V66" s="68"/>
    </row>
    <row r="67" spans="1:22" s="48" customFormat="1" outlineLevel="1" x14ac:dyDescent="0.3">
      <c r="A67" s="92" t="s">
        <v>158</v>
      </c>
      <c r="B67" s="93"/>
      <c r="C67" s="69">
        <f t="shared" ref="C67:Q67" si="122">+C14/C8</f>
        <v>6.8004459308807136E-2</v>
      </c>
      <c r="D67" s="69">
        <f t="shared" si="122"/>
        <v>6.401491609695463E-2</v>
      </c>
      <c r="E67" s="69">
        <f t="shared" si="122"/>
        <v>6.2473256311510482E-2</v>
      </c>
      <c r="F67" s="69">
        <f t="shared" si="122"/>
        <v>5.8462935634010671E-2</v>
      </c>
      <c r="G67" s="67">
        <f t="shared" si="122"/>
        <v>6.2631159997105432E-2</v>
      </c>
      <c r="H67" s="69">
        <f t="shared" si="122"/>
        <v>8.1548804780876491E-2</v>
      </c>
      <c r="I67" s="69">
        <f t="shared" si="122"/>
        <v>6.8662160712369913E-2</v>
      </c>
      <c r="J67" s="69">
        <f t="shared" si="122"/>
        <v>5.1897753679318356E-2</v>
      </c>
      <c r="K67" s="69">
        <f t="shared" si="122"/>
        <v>5.2883132901634287E-2</v>
      </c>
      <c r="L67" s="67">
        <f t="shared" si="122"/>
        <v>6.1914249870858237E-2</v>
      </c>
      <c r="M67" s="69">
        <f t="shared" si="122"/>
        <v>6.3262577302356682E-2</v>
      </c>
      <c r="N67" s="69">
        <f t="shared" si="122"/>
        <v>5.865013982314262E-2</v>
      </c>
      <c r="O67" s="69">
        <f t="shared" si="122"/>
        <v>6.8696729074087567E-2</v>
      </c>
      <c r="P67" s="69">
        <f t="shared" si="122"/>
        <v>5.7703677426983561E-2</v>
      </c>
      <c r="Q67" s="68">
        <f t="shared" si="122"/>
        <v>6.1821698484902751E-2</v>
      </c>
      <c r="R67" s="76">
        <v>7.0000000000000007E-2</v>
      </c>
      <c r="S67" s="76">
        <v>0.08</v>
      </c>
      <c r="T67" s="76">
        <v>0.08</v>
      </c>
      <c r="U67" s="76">
        <f>AVERAGE(P67,R67,S67,T67)+0.303546639633298%</f>
        <v>7.4961385753078882E-2</v>
      </c>
      <c r="V67" s="68"/>
    </row>
    <row r="68" spans="1:22" s="48" customFormat="1" outlineLevel="1" x14ac:dyDescent="0.3">
      <c r="A68" s="92" t="s">
        <v>196</v>
      </c>
      <c r="B68" s="93"/>
      <c r="C68" s="69"/>
      <c r="D68" s="69"/>
      <c r="E68" s="69"/>
      <c r="F68" s="69"/>
      <c r="G68" s="67"/>
      <c r="H68" s="69">
        <f>+(H9+H12+H13+H14)/(F9+F12+F13+F14)-1</f>
        <v>0.10471941770368631</v>
      </c>
      <c r="I68" s="69">
        <f>+(I9+I12+I13+I14)/(G9+G12+G13+G14)-1</f>
        <v>-0.67654986522911054</v>
      </c>
      <c r="J68" s="69">
        <f>+(J9+J12+J13+J14)/(H9+H12+H13+H14)-1</f>
        <v>0.10648246546227425</v>
      </c>
      <c r="K68" s="69">
        <f>+(K9+K12+K13+K14)/(I9+I12+I13+I14)-1</f>
        <v>0.14227642276422769</v>
      </c>
      <c r="L68" s="67">
        <f>+(L9+L12+L13+L14)/(G9+G12+G13+G14)-1</f>
        <v>0.3444875419104596</v>
      </c>
      <c r="M68" s="69">
        <f>+(M9+M12+M13+M14)/(K9+K12+K13+K14)-1</f>
        <v>0.159608540925267</v>
      </c>
      <c r="N68" s="69">
        <f>+(N9+N12+N13+N14)/(L9+L12+L13+L14)-1</f>
        <v>-0.63972421886460318</v>
      </c>
      <c r="O68" s="69">
        <f>+(O9+O12+O13+O14)/(M9+M12+M13+M14)-1</f>
        <v>0.21927267147460494</v>
      </c>
      <c r="P68" s="69">
        <f>+(P9+P12+P13+P14)/(N9+N12+N13+N14)-1</f>
        <v>0.23425624321389793</v>
      </c>
      <c r="Q68" s="67">
        <f>+(Q9+Q12+Q13+Q14)/(L9+L12+L13+L14)-1</f>
        <v>0.5121509950613663</v>
      </c>
      <c r="R68" s="69">
        <f>+(R9+R12+R13+R14)/(P9+P12+P13+P14)-1</f>
        <v>6.0072574530839473E-2</v>
      </c>
      <c r="S68" s="69">
        <f>+(S9+S12+S13+S14)/(Q9+Q12+Q13+Q14)-1</f>
        <v>-0.66201873391566601</v>
      </c>
      <c r="T68" s="69">
        <f>+(T9+T12+T13+T14)/(R9+R12+R13+R14)-1</f>
        <v>0.14340825907678778</v>
      </c>
      <c r="U68" s="69">
        <f>+(U9+U12+U13+U14)/(S9+S12+S13+S14)-1</f>
        <v>0.27566062951315295</v>
      </c>
      <c r="V68" s="187">
        <f>+(V9+V12+V13+V14)/(Q9+Q12+Q13+Q14)-1</f>
        <v>0.43729876500984144</v>
      </c>
    </row>
    <row r="69" spans="1:22" s="48" customFormat="1" outlineLevel="1" x14ac:dyDescent="0.3">
      <c r="A69" s="203" t="s">
        <v>26</v>
      </c>
      <c r="B69" s="204"/>
      <c r="C69" s="65">
        <f t="shared" ref="C69:V69" si="123">C16/C8</f>
        <v>0.37328130806391674</v>
      </c>
      <c r="D69" s="65">
        <f t="shared" si="123"/>
        <v>0.42666252330640148</v>
      </c>
      <c r="E69" s="65">
        <f t="shared" si="123"/>
        <v>0.445300242476109</v>
      </c>
      <c r="F69" s="65">
        <f t="shared" si="123"/>
        <v>0.51651719831990006</v>
      </c>
      <c r="G69" s="68">
        <f t="shared" si="123"/>
        <v>0.44963456111151312</v>
      </c>
      <c r="H69" s="65">
        <f t="shared" si="123"/>
        <v>0.41421812749003983</v>
      </c>
      <c r="I69" s="65">
        <f t="shared" si="123"/>
        <v>0.47215963952365625</v>
      </c>
      <c r="J69" s="65">
        <f t="shared" si="123"/>
        <v>0.49593338497288925</v>
      </c>
      <c r="K69" s="65">
        <f t="shared" si="123"/>
        <v>0.56675917360468697</v>
      </c>
      <c r="L69" s="68">
        <f t="shared" si="123"/>
        <v>0.49693749538779425</v>
      </c>
      <c r="M69" s="65">
        <f t="shared" si="123"/>
        <v>0.45537355841551064</v>
      </c>
      <c r="N69" s="65">
        <f t="shared" si="123"/>
        <v>0.44312599198851182</v>
      </c>
      <c r="O69" s="65">
        <f t="shared" si="123"/>
        <v>0.42114081736723247</v>
      </c>
      <c r="P69" s="65">
        <f t="shared" si="123"/>
        <v>0.46233889085964291</v>
      </c>
      <c r="Q69" s="68">
        <f t="shared" si="123"/>
        <v>0.44616569361366809</v>
      </c>
      <c r="R69" s="65">
        <f t="shared" si="123"/>
        <v>0.36439999999999995</v>
      </c>
      <c r="S69" s="65">
        <f t="shared" si="123"/>
        <v>0.36682679942285362</v>
      </c>
      <c r="T69" s="65">
        <f t="shared" si="123"/>
        <v>0.34931314089282289</v>
      </c>
      <c r="U69" s="65">
        <f t="shared" si="123"/>
        <v>0.34903861424692123</v>
      </c>
      <c r="V69" s="68">
        <f t="shared" si="123"/>
        <v>0.3567274397459731</v>
      </c>
    </row>
    <row r="70" spans="1:22" s="48" customFormat="1" outlineLevel="1" x14ac:dyDescent="0.3">
      <c r="A70" s="203" t="s">
        <v>2</v>
      </c>
      <c r="B70" s="204"/>
      <c r="C70" s="65">
        <f t="shared" ref="C70:Q70" si="124">-C19/C18</f>
        <v>0.26876513317191281</v>
      </c>
      <c r="D70" s="65">
        <f t="shared" si="124"/>
        <v>0.25704989154013014</v>
      </c>
      <c r="E70" s="65">
        <f t="shared" si="124"/>
        <v>0.24928999684443043</v>
      </c>
      <c r="F70" s="65">
        <f t="shared" si="124"/>
        <v>5.422753430721558E-2</v>
      </c>
      <c r="G70" s="68">
        <f t="shared" si="124"/>
        <v>0.18381530595941845</v>
      </c>
      <c r="H70" s="65">
        <f t="shared" si="124"/>
        <v>0.10093896713615023</v>
      </c>
      <c r="I70" s="65">
        <f t="shared" si="124"/>
        <v>0.13235294117647059</v>
      </c>
      <c r="J70" s="65">
        <f t="shared" si="124"/>
        <v>0.10103132161955691</v>
      </c>
      <c r="K70" s="65">
        <f t="shared" si="124"/>
        <v>0.42803537925489143</v>
      </c>
      <c r="L70" s="68">
        <f t="shared" si="124"/>
        <v>0.22632805671554823</v>
      </c>
      <c r="M70" s="65">
        <f t="shared" si="124"/>
        <v>0.11087344028520499</v>
      </c>
      <c r="N70" s="65">
        <f t="shared" si="124"/>
        <v>0.12985685071574643</v>
      </c>
      <c r="O70" s="65">
        <f t="shared" si="124"/>
        <v>0.13108930987821379</v>
      </c>
      <c r="P70" s="65">
        <f t="shared" si="124"/>
        <v>0.13662024840045164</v>
      </c>
      <c r="Q70" s="68">
        <f t="shared" si="124"/>
        <v>0.12807065967430306</v>
      </c>
      <c r="R70" s="76">
        <v>0.15240682837581071</v>
      </c>
      <c r="S70" s="76">
        <v>0.15586167579075591</v>
      </c>
      <c r="T70" s="76">
        <v>0.15677957879074209</v>
      </c>
      <c r="U70" s="76">
        <v>0.16</v>
      </c>
      <c r="V70" s="188">
        <f>-V19/V18</f>
        <v>0.15650503044706165</v>
      </c>
    </row>
    <row r="71" spans="1:22" s="48" customFormat="1" outlineLevel="1" x14ac:dyDescent="0.3">
      <c r="A71" s="203" t="s">
        <v>195</v>
      </c>
      <c r="B71" s="204"/>
      <c r="C71" s="65"/>
      <c r="D71" s="65">
        <f>+D17/(AVERAGE(D89,C89,D90,C90))</f>
        <v>1.8217424966980916E-3</v>
      </c>
      <c r="E71" s="65">
        <f>+E17/(AVERAGE(E89,D89,E90,D90))</f>
        <v>3.8031274654582972E-3</v>
      </c>
      <c r="F71" s="65">
        <f>+F17/(AVERAGE(F89,E89,F90,E90))</f>
        <v>-2.3026138264764613E-3</v>
      </c>
      <c r="G71" s="68"/>
      <c r="H71" s="65">
        <f>+H17/(AVERAGE(H89,F89,H90,F90))</f>
        <v>5.246538741802283E-3</v>
      </c>
      <c r="I71" s="65">
        <f>+I17/(AVERAGE(I89,H89,I90,H90))</f>
        <v>5.13592490923581E-3</v>
      </c>
      <c r="J71" s="65">
        <f>+J17/(AVERAGE(J89,I89,J90,I90))</f>
        <v>6.1838054813468761E-3</v>
      </c>
      <c r="K71" s="65">
        <f>+K17/(AVERAGE(K89,J89,K90,J90))</f>
        <v>5.4999999999999997E-3</v>
      </c>
      <c r="L71" s="68">
        <f>+L17/(AVERAGE(L89,G89,L90,G90))</f>
        <v>2.2034851039910062E-2</v>
      </c>
      <c r="M71" s="65">
        <f>+M17/(AVERAGE(M89,K89,M90,K90))</f>
        <v>7.5174804767296627E-3</v>
      </c>
      <c r="N71" s="65">
        <f>+N17/(AVERAGE(N89,M89,N90,M90))</f>
        <v>2.318437373210456E-4</v>
      </c>
      <c r="O71" s="65">
        <f>+O17/(AVERAGE(O89,N89,O90,N90))</f>
        <v>6.274321978087769E-3</v>
      </c>
      <c r="P71" s="65">
        <f>+P17/(AVERAGE(P89,O89,P90,O90))</f>
        <v>7.3372206025267249E-3</v>
      </c>
      <c r="Q71" s="68">
        <f>+Q17/(AVERAGE(Q89,L89,Q90,L90))</f>
        <v>2.1635979474796257E-2</v>
      </c>
      <c r="R71" s="65"/>
      <c r="S71" s="65"/>
      <c r="T71" s="65"/>
      <c r="U71" s="65"/>
      <c r="V71" s="68" t="e">
        <f>+V17/(AVERAGE(#REF!,Q89,#REF!,Q90))</f>
        <v>#REF!</v>
      </c>
    </row>
    <row r="72" spans="1:22" ht="17.399999999999999" x14ac:dyDescent="0.45">
      <c r="A72" s="211" t="s">
        <v>51</v>
      </c>
      <c r="B72" s="212"/>
      <c r="C72" s="33" t="s">
        <v>116</v>
      </c>
      <c r="D72" s="33" t="s">
        <v>117</v>
      </c>
      <c r="E72" s="33" t="s">
        <v>118</v>
      </c>
      <c r="F72" s="33" t="s">
        <v>119</v>
      </c>
      <c r="G72" s="124" t="s">
        <v>120</v>
      </c>
      <c r="H72" s="33" t="s">
        <v>107</v>
      </c>
      <c r="I72" s="33" t="s">
        <v>108</v>
      </c>
      <c r="J72" s="33" t="s">
        <v>109</v>
      </c>
      <c r="K72" s="33" t="s">
        <v>110</v>
      </c>
      <c r="L72" s="124" t="s">
        <v>111</v>
      </c>
      <c r="M72" s="33" t="s">
        <v>98</v>
      </c>
      <c r="N72" s="33" t="s">
        <v>97</v>
      </c>
      <c r="O72" s="33" t="s">
        <v>96</v>
      </c>
      <c r="P72" s="33" t="s">
        <v>95</v>
      </c>
      <c r="Q72" s="124" t="s">
        <v>94</v>
      </c>
      <c r="R72" s="31" t="s">
        <v>214</v>
      </c>
      <c r="S72" s="31" t="s">
        <v>215</v>
      </c>
      <c r="T72" s="31" t="s">
        <v>216</v>
      </c>
      <c r="U72" s="31" t="s">
        <v>217</v>
      </c>
      <c r="V72" s="127" t="s">
        <v>218</v>
      </c>
    </row>
    <row r="73" spans="1:22" outlineLevel="1" x14ac:dyDescent="0.3">
      <c r="A73" s="203" t="s">
        <v>42</v>
      </c>
      <c r="B73" s="204"/>
      <c r="C73" s="65"/>
      <c r="D73" s="65"/>
      <c r="E73" s="65"/>
      <c r="F73" s="65"/>
      <c r="G73" s="67"/>
      <c r="H73" s="65">
        <f>(H23+H77)/F23-1</f>
        <v>3.7956280360860184E-3</v>
      </c>
      <c r="I73" s="65">
        <f>(I23+I77)/H23-1</f>
        <v>3.5230024213075417E-3</v>
      </c>
      <c r="J73" s="65">
        <f>(J23+J77)/I23-1</f>
        <v>2.6834940513578154E-3</v>
      </c>
      <c r="K73" s="65">
        <f>(K23+K77)/J23-1</f>
        <v>3.0440486794380828E-3</v>
      </c>
      <c r="L73" s="67"/>
      <c r="M73" s="65">
        <f>(M23+M77)/K23-1</f>
        <v>3.4813988299604581E-3</v>
      </c>
      <c r="N73" s="65">
        <f>(N23+N77)/M23-1</f>
        <v>2.5467086450188248E-3</v>
      </c>
      <c r="O73" s="65">
        <f>(O23+O77)/N23-1</f>
        <v>4.9405360145176047E-3</v>
      </c>
      <c r="P73" s="65">
        <f>(P23+P77)/O23-1</f>
        <v>4.4046487651729915E-3</v>
      </c>
      <c r="Q73" s="20"/>
      <c r="R73" s="77">
        <f t="shared" ref="R73:R74" si="125">AVERAGE(M73,N73,O73,P73)</f>
        <v>3.8433230636674698E-3</v>
      </c>
      <c r="S73" s="77">
        <f t="shared" ref="S73:S74" si="126">AVERAGE(N73,O73,P73,R73)</f>
        <v>3.9338041220942227E-3</v>
      </c>
      <c r="T73" s="77">
        <f t="shared" ref="T73:T74" si="127">AVERAGE(O73,P73,R73,S73)</f>
        <v>4.2805779913630722E-3</v>
      </c>
      <c r="U73" s="77">
        <f t="shared" ref="U73:U74" si="128">AVERAGE(P73,R73,S73,T73)</f>
        <v>4.115588485574439E-3</v>
      </c>
      <c r="V73" s="20"/>
    </row>
    <row r="74" spans="1:22" outlineLevel="1" x14ac:dyDescent="0.3">
      <c r="A74" s="203" t="s">
        <v>43</v>
      </c>
      <c r="B74" s="204"/>
      <c r="C74" s="65"/>
      <c r="D74" s="65"/>
      <c r="E74" s="65"/>
      <c r="F74" s="65"/>
      <c r="G74" s="67"/>
      <c r="H74" s="65">
        <f>(H24+H77)/F24-1</f>
        <v>2.7021783526208765E-3</v>
      </c>
      <c r="I74" s="65">
        <f>(I24+I77)/H24-1</f>
        <v>2.7802309782607448E-3</v>
      </c>
      <c r="J74" s="65">
        <f>(J24+J77)/I24-1</f>
        <v>2.9759853435913364E-3</v>
      </c>
      <c r="K74" s="65">
        <f>(K24+K77)/J24-1</f>
        <v>1.2990248190420939E-3</v>
      </c>
      <c r="L74" s="67"/>
      <c r="M74" s="65">
        <f>(M24+M77)/K24-1</f>
        <v>7.1781530084469303E-4</v>
      </c>
      <c r="N74" s="65">
        <f>(N24+N77)/M24-1</f>
        <v>1.1547488361374203E-3</v>
      </c>
      <c r="O74" s="65">
        <f>(O24+O77)/N24-1</f>
        <v>2.4924408744124715E-3</v>
      </c>
      <c r="P74" s="65">
        <f>(P24+P77)/O24-1</f>
        <v>-4.4373096892402764E-4</v>
      </c>
      <c r="Q74" s="20"/>
      <c r="R74" s="77">
        <f t="shared" si="125"/>
        <v>9.803185106176393E-4</v>
      </c>
      <c r="S74" s="77">
        <f t="shared" si="126"/>
        <v>1.0459443130608759E-3</v>
      </c>
      <c r="T74" s="77">
        <f t="shared" si="127"/>
        <v>1.0187431822917398E-3</v>
      </c>
      <c r="U74" s="77">
        <f t="shared" si="128"/>
        <v>6.5031875926155683E-4</v>
      </c>
      <c r="V74" s="20"/>
    </row>
    <row r="75" spans="1:22" outlineLevel="1" x14ac:dyDescent="0.3">
      <c r="A75" s="203" t="s">
        <v>27</v>
      </c>
      <c r="B75" s="204"/>
      <c r="C75" s="80"/>
      <c r="D75" s="80"/>
      <c r="E75" s="80"/>
      <c r="F75" s="80"/>
      <c r="G75" s="84"/>
      <c r="H75" s="80">
        <v>117.82</v>
      </c>
      <c r="I75" s="80">
        <v>151.91</v>
      </c>
      <c r="J75" s="80">
        <v>166.56332334630517</v>
      </c>
      <c r="K75" s="80">
        <v>176.70181536624793</v>
      </c>
      <c r="L75" s="84"/>
      <c r="M75" s="80">
        <v>172.2070981221278</v>
      </c>
      <c r="N75" s="80">
        <v>174.6990364065723</v>
      </c>
      <c r="O75" s="80">
        <v>175.11542355903225</v>
      </c>
      <c r="P75" s="80">
        <v>137.87315514615219</v>
      </c>
      <c r="Q75" s="84"/>
      <c r="R75" s="82">
        <v>167</v>
      </c>
      <c r="S75" s="82">
        <v>167</v>
      </c>
      <c r="T75" s="82">
        <v>167</v>
      </c>
      <c r="U75" s="82">
        <v>167</v>
      </c>
      <c r="V75" s="81"/>
    </row>
    <row r="76" spans="1:22" outlineLevel="1" x14ac:dyDescent="0.3">
      <c r="A76" s="203" t="s">
        <v>28</v>
      </c>
      <c r="B76" s="204"/>
      <c r="C76" s="35"/>
      <c r="D76" s="35"/>
      <c r="E76" s="35"/>
      <c r="F76" s="35"/>
      <c r="G76" s="36"/>
      <c r="H76" s="35">
        <f>+(1939*117.82+18*0)/1000</f>
        <v>228.45297999999997</v>
      </c>
      <c r="I76" s="35">
        <f>1185*151.91/1000</f>
        <v>180.01335</v>
      </c>
      <c r="J76" s="35">
        <f>+(1249*160.1+1360*169.12+1173*170.5)/1000</f>
        <v>629.96460000000002</v>
      </c>
      <c r="K76" s="35">
        <f>+(1008*172.19+4832*177.64)/1000</f>
        <v>1031.924</v>
      </c>
      <c r="L76" s="36">
        <f>SUM(H76:K76)</f>
        <v>2070.35493</v>
      </c>
      <c r="M76" s="35">
        <f>+(1706*184.67+1576*180.83+7838*167.77)/1000</f>
        <v>1915.0163599999998</v>
      </c>
      <c r="N76" s="35">
        <f>+(9668*161.2+3353*180.81+5380*195.14)/1000</f>
        <v>3214.5907299999994</v>
      </c>
      <c r="O76" s="35">
        <f>(5288*198.56+6480*177.52+12535*163.98)/1000</f>
        <v>4255.8041800000001</v>
      </c>
      <c r="P76" s="35">
        <f>+(25708*137.87)/1000</f>
        <v>3544.3619600000002</v>
      </c>
      <c r="Q76" s="36">
        <f>SUM(M76:P76)</f>
        <v>12929.773230000001</v>
      </c>
      <c r="R76" s="75">
        <v>1000</v>
      </c>
      <c r="S76" s="75">
        <v>750</v>
      </c>
      <c r="T76" s="75">
        <v>500</v>
      </c>
      <c r="U76" s="75">
        <v>500</v>
      </c>
      <c r="V76" s="36">
        <f>+SUM(R76:U76)</f>
        <v>2750</v>
      </c>
    </row>
    <row r="77" spans="1:22" outlineLevel="1" x14ac:dyDescent="0.3">
      <c r="A77" s="238" t="s">
        <v>47</v>
      </c>
      <c r="B77" s="239"/>
      <c r="C77" s="85"/>
      <c r="D77" s="85"/>
      <c r="E77" s="85"/>
      <c r="F77" s="85"/>
      <c r="G77" s="171"/>
      <c r="H77" s="85">
        <f>IF((H76)&gt;0,(H76/H75),0)</f>
        <v>1.9389999999999998</v>
      </c>
      <c r="I77" s="85">
        <f>IF((I76)&gt;0,(I76/I75),0)</f>
        <v>1.1850000000000001</v>
      </c>
      <c r="J77" s="85">
        <f>IF((J76)&gt;0,(J76/J75),0)</f>
        <v>3.7821327489379395</v>
      </c>
      <c r="K77" s="85">
        <f>IF((K76)&gt;0,(K76/K75),0)</f>
        <v>5.8399173650884251</v>
      </c>
      <c r="L77" s="171">
        <f>+SUM(H77:K77)</f>
        <v>12.746050114026364</v>
      </c>
      <c r="M77" s="85">
        <f>IF((M76)&gt;0,(M76/M75),0)</f>
        <v>11.120426398695173</v>
      </c>
      <c r="N77" s="85">
        <f>IF((N76)&gt;0,(N76/N75),0)</f>
        <v>18.400735322424847</v>
      </c>
      <c r="O77" s="85">
        <f>IF((O76)&gt;0,(O76/O75),0)</f>
        <v>24.302851762028535</v>
      </c>
      <c r="P77" s="85">
        <f>IF((P76)&gt;0,(P76/P75),0)</f>
        <v>25.707411687523983</v>
      </c>
      <c r="Q77" s="171">
        <f>+SUM(M77:P77)</f>
        <v>79.531425170672534</v>
      </c>
      <c r="R77" s="85">
        <f>IF((R76)&gt;0,(R76/R75),0)</f>
        <v>5.9880239520958085</v>
      </c>
      <c r="S77" s="85">
        <f>IF((S76)&gt;0,(S76/S75),0)</f>
        <v>4.4910179640718564</v>
      </c>
      <c r="T77" s="85">
        <f>IF((T76)&gt;0,(T76/T75),0)</f>
        <v>2.9940119760479043</v>
      </c>
      <c r="U77" s="85">
        <f>IF((U76)&gt;0,(U76/U75),0)</f>
        <v>2.9940119760479043</v>
      </c>
      <c r="V77" s="171">
        <f>+SUM(R77:U77)</f>
        <v>16.467065868263475</v>
      </c>
    </row>
    <row r="78" spans="1:22" ht="17.399999999999999" x14ac:dyDescent="0.45">
      <c r="A78" s="211" t="s">
        <v>69</v>
      </c>
      <c r="B78" s="212"/>
      <c r="C78" s="33" t="s">
        <v>116</v>
      </c>
      <c r="D78" s="33" t="s">
        <v>117</v>
      </c>
      <c r="E78" s="33" t="s">
        <v>118</v>
      </c>
      <c r="F78" s="33" t="s">
        <v>119</v>
      </c>
      <c r="G78" s="124" t="s">
        <v>120</v>
      </c>
      <c r="H78" s="33" t="s">
        <v>107</v>
      </c>
      <c r="I78" s="33" t="s">
        <v>108</v>
      </c>
      <c r="J78" s="33" t="s">
        <v>109</v>
      </c>
      <c r="K78" s="33" t="s">
        <v>110</v>
      </c>
      <c r="L78" s="124" t="s">
        <v>111</v>
      </c>
      <c r="M78" s="33" t="s">
        <v>98</v>
      </c>
      <c r="N78" s="33" t="s">
        <v>97</v>
      </c>
      <c r="O78" s="33" t="s">
        <v>96</v>
      </c>
      <c r="P78" s="33" t="s">
        <v>95</v>
      </c>
      <c r="Q78" s="124" t="s">
        <v>94</v>
      </c>
      <c r="R78" s="31" t="s">
        <v>214</v>
      </c>
      <c r="S78" s="31" t="s">
        <v>215</v>
      </c>
      <c r="T78" s="31" t="s">
        <v>216</v>
      </c>
      <c r="U78" s="31" t="s">
        <v>217</v>
      </c>
      <c r="V78" s="127" t="s">
        <v>218</v>
      </c>
    </row>
    <row r="79" spans="1:22" outlineLevel="1" x14ac:dyDescent="0.3">
      <c r="A79" s="203" t="s">
        <v>159</v>
      </c>
      <c r="B79" s="204"/>
      <c r="C79" s="35"/>
      <c r="D79" s="35"/>
      <c r="E79" s="35"/>
      <c r="F79" s="35"/>
      <c r="G79" s="36"/>
      <c r="H79" s="35">
        <v>-536</v>
      </c>
      <c r="I79" s="35">
        <v>-373</v>
      </c>
      <c r="J79" s="35">
        <v>159</v>
      </c>
      <c r="K79" s="35">
        <v>348</v>
      </c>
      <c r="L79" s="36"/>
      <c r="M79" s="35">
        <v>-536</v>
      </c>
      <c r="N79" s="35">
        <v>-373</v>
      </c>
      <c r="O79" s="35">
        <v>159</v>
      </c>
      <c r="P79" s="35">
        <v>348</v>
      </c>
      <c r="Q79" s="36">
        <v>-401</v>
      </c>
      <c r="R79" s="75">
        <v>750</v>
      </c>
      <c r="S79" s="75">
        <v>250</v>
      </c>
      <c r="T79" s="75">
        <v>0</v>
      </c>
      <c r="U79" s="75">
        <v>0</v>
      </c>
      <c r="V79" s="36">
        <f t="shared" ref="V79" si="129">SUM(R79:U79)</f>
        <v>1000</v>
      </c>
    </row>
    <row r="80" spans="1:22" ht="17.399999999999999" x14ac:dyDescent="0.45">
      <c r="A80" s="211" t="s">
        <v>160</v>
      </c>
      <c r="B80" s="212"/>
      <c r="C80" s="33" t="s">
        <v>116</v>
      </c>
      <c r="D80" s="33" t="s">
        <v>117</v>
      </c>
      <c r="E80" s="33" t="s">
        <v>118</v>
      </c>
      <c r="F80" s="33" t="s">
        <v>119</v>
      </c>
      <c r="G80" s="124" t="s">
        <v>120</v>
      </c>
      <c r="H80" s="33" t="s">
        <v>107</v>
      </c>
      <c r="I80" s="33" t="s">
        <v>108</v>
      </c>
      <c r="J80" s="33" t="s">
        <v>109</v>
      </c>
      <c r="K80" s="33" t="s">
        <v>110</v>
      </c>
      <c r="L80" s="124" t="s">
        <v>111</v>
      </c>
      <c r="M80" s="33" t="s">
        <v>98</v>
      </c>
      <c r="N80" s="33" t="s">
        <v>97</v>
      </c>
      <c r="O80" s="33" t="s">
        <v>96</v>
      </c>
      <c r="P80" s="33" t="s">
        <v>95</v>
      </c>
      <c r="Q80" s="124" t="s">
        <v>94</v>
      </c>
      <c r="R80" s="31" t="s">
        <v>214</v>
      </c>
      <c r="S80" s="31" t="s">
        <v>215</v>
      </c>
      <c r="T80" s="31" t="s">
        <v>216</v>
      </c>
      <c r="U80" s="31" t="s">
        <v>217</v>
      </c>
      <c r="V80" s="127" t="s">
        <v>218</v>
      </c>
    </row>
    <row r="81" spans="1:22" outlineLevel="1" x14ac:dyDescent="0.3">
      <c r="A81" s="92" t="s">
        <v>126</v>
      </c>
      <c r="B81" s="93"/>
      <c r="C81" s="35"/>
      <c r="D81" s="35"/>
      <c r="E81" s="35"/>
      <c r="F81" s="35"/>
      <c r="G81" s="36"/>
      <c r="H81" s="35">
        <v>34</v>
      </c>
      <c r="I81" s="35">
        <v>47</v>
      </c>
      <c r="J81" s="35">
        <v>47</v>
      </c>
      <c r="K81" s="35">
        <v>50</v>
      </c>
      <c r="L81" s="36"/>
      <c r="M81" s="35">
        <v>56</v>
      </c>
      <c r="N81" s="35">
        <v>74</v>
      </c>
      <c r="O81" s="35">
        <v>72</v>
      </c>
      <c r="P81" s="132">
        <v>82</v>
      </c>
      <c r="Q81" s="36"/>
      <c r="R81" s="75">
        <f>AVERAGE(M81,N81,O81,P81)</f>
        <v>71</v>
      </c>
      <c r="S81" s="75">
        <f>AVERAGE(N81,O81,P81,R81)</f>
        <v>74.75</v>
      </c>
      <c r="T81" s="75">
        <f>AVERAGE(O81,P81,R81,S81)</f>
        <v>74.9375</v>
      </c>
      <c r="U81" s="75">
        <f>AVERAGE(P81,R81,S81,T81)</f>
        <v>75.671875</v>
      </c>
      <c r="V81" s="36"/>
    </row>
    <row r="82" spans="1:22" s="154" customFormat="1" outlineLevel="1" x14ac:dyDescent="0.3">
      <c r="A82" s="92" t="s">
        <v>163</v>
      </c>
      <c r="B82" s="172"/>
      <c r="C82" s="155"/>
      <c r="D82" s="155"/>
      <c r="E82" s="155"/>
      <c r="F82" s="35"/>
      <c r="G82" s="173"/>
      <c r="H82" s="35">
        <v>670</v>
      </c>
      <c r="I82" s="35">
        <v>787</v>
      </c>
      <c r="J82" s="35">
        <v>776</v>
      </c>
      <c r="K82" s="35">
        <v>587</v>
      </c>
      <c r="L82" s="173"/>
      <c r="M82" s="35">
        <v>718</v>
      </c>
      <c r="N82" s="35">
        <v>881</v>
      </c>
      <c r="O82" s="35">
        <v>748</v>
      </c>
      <c r="P82" s="132">
        <v>675</v>
      </c>
      <c r="Q82" s="156"/>
      <c r="R82" s="75">
        <f t="shared" ref="R82:R84" si="130">AVERAGE(M82,N82,O82,P82)</f>
        <v>755.5</v>
      </c>
      <c r="S82" s="75">
        <f t="shared" ref="S82:S84" si="131">AVERAGE(N82,O82,P82,R82)</f>
        <v>764.875</v>
      </c>
      <c r="T82" s="75">
        <f t="shared" ref="T82:T84" si="132">AVERAGE(O82,P82,R82,S82)</f>
        <v>735.84375</v>
      </c>
      <c r="U82" s="75">
        <f t="shared" ref="U82:U84" si="133">AVERAGE(P82,R82,S82,T82)</f>
        <v>732.8046875</v>
      </c>
      <c r="V82" s="36"/>
    </row>
    <row r="83" spans="1:22" outlineLevel="1" x14ac:dyDescent="0.3">
      <c r="A83" s="92" t="s">
        <v>162</v>
      </c>
      <c r="B83" s="93"/>
      <c r="C83" s="35"/>
      <c r="D83" s="35"/>
      <c r="E83" s="35"/>
      <c r="F83" s="35"/>
      <c r="G83" s="36"/>
      <c r="H83" s="35">
        <v>96</v>
      </c>
      <c r="I83" s="35">
        <v>120</v>
      </c>
      <c r="J83" s="35">
        <v>114</v>
      </c>
      <c r="K83" s="35">
        <v>106</v>
      </c>
      <c r="L83" s="36"/>
      <c r="M83" s="35">
        <v>109</v>
      </c>
      <c r="N83" s="35">
        <v>139</v>
      </c>
      <c r="O83" s="35">
        <v>133</v>
      </c>
      <c r="P83" s="132">
        <v>130</v>
      </c>
      <c r="Q83" s="36"/>
      <c r="R83" s="75">
        <f t="shared" si="130"/>
        <v>127.75</v>
      </c>
      <c r="S83" s="75">
        <f t="shared" si="131"/>
        <v>132.4375</v>
      </c>
      <c r="T83" s="75">
        <f t="shared" si="132"/>
        <v>130.796875</v>
      </c>
      <c r="U83" s="75">
        <f t="shared" si="133"/>
        <v>130.24609375</v>
      </c>
      <c r="V83" s="36"/>
    </row>
    <row r="84" spans="1:22" outlineLevel="1" x14ac:dyDescent="0.3">
      <c r="A84" s="103" t="s">
        <v>161</v>
      </c>
      <c r="B84" s="161"/>
      <c r="C84" s="89"/>
      <c r="D84" s="89"/>
      <c r="E84" s="89"/>
      <c r="F84" s="89"/>
      <c r="G84" s="90"/>
      <c r="H84" s="89">
        <v>67</v>
      </c>
      <c r="I84" s="89">
        <v>78</v>
      </c>
      <c r="J84" s="89">
        <v>73</v>
      </c>
      <c r="K84" s="89">
        <v>71</v>
      </c>
      <c r="L84" s="90"/>
      <c r="M84" s="89">
        <v>72</v>
      </c>
      <c r="N84" s="89">
        <v>92</v>
      </c>
      <c r="O84" s="89">
        <v>87</v>
      </c>
      <c r="P84" s="174">
        <v>84</v>
      </c>
      <c r="Q84" s="90"/>
      <c r="R84" s="175">
        <f t="shared" si="130"/>
        <v>83.75</v>
      </c>
      <c r="S84" s="105">
        <f t="shared" si="131"/>
        <v>86.6875</v>
      </c>
      <c r="T84" s="105">
        <f t="shared" si="132"/>
        <v>85.359375</v>
      </c>
      <c r="U84" s="176">
        <f t="shared" si="133"/>
        <v>84.94921875</v>
      </c>
      <c r="V84" s="90"/>
    </row>
    <row r="85" spans="1:22" x14ac:dyDescent="0.3">
      <c r="A85" s="18"/>
      <c r="B85" s="18"/>
      <c r="E85" s="2"/>
      <c r="F85" s="2"/>
      <c r="G85" s="2"/>
      <c r="J85" s="2"/>
      <c r="K85" s="2"/>
      <c r="L85" s="131"/>
      <c r="O85" s="2"/>
      <c r="P85" s="2"/>
      <c r="Q85" s="131"/>
      <c r="T85" s="2"/>
      <c r="U85" s="2"/>
      <c r="V85" s="131"/>
    </row>
    <row r="86" spans="1:22" ht="15.6" x14ac:dyDescent="0.3">
      <c r="A86" s="211" t="s">
        <v>134</v>
      </c>
      <c r="B86" s="212"/>
      <c r="C86" s="32" t="s">
        <v>112</v>
      </c>
      <c r="D86" s="32" t="s">
        <v>113</v>
      </c>
      <c r="E86" s="32" t="s">
        <v>114</v>
      </c>
      <c r="F86" s="32" t="s">
        <v>115</v>
      </c>
      <c r="G86" s="123" t="s">
        <v>115</v>
      </c>
      <c r="H86" s="32" t="s">
        <v>99</v>
      </c>
      <c r="I86" s="32" t="s">
        <v>104</v>
      </c>
      <c r="J86" s="32" t="s">
        <v>105</v>
      </c>
      <c r="K86" s="32" t="s">
        <v>106</v>
      </c>
      <c r="L86" s="123" t="s">
        <v>106</v>
      </c>
      <c r="M86" s="32" t="s">
        <v>101</v>
      </c>
      <c r="N86" s="32" t="s">
        <v>100</v>
      </c>
      <c r="O86" s="32" t="s">
        <v>102</v>
      </c>
      <c r="P86" s="32" t="s">
        <v>103</v>
      </c>
      <c r="Q86" s="123" t="s">
        <v>103</v>
      </c>
      <c r="R86" s="3"/>
      <c r="S86" s="3"/>
      <c r="T86" s="3"/>
      <c r="U86" s="3"/>
      <c r="V86" s="3"/>
    </row>
    <row r="87" spans="1:22" ht="16.2" x14ac:dyDescent="0.45">
      <c r="A87" s="96" t="s">
        <v>3</v>
      </c>
      <c r="B87" s="128"/>
      <c r="C87" s="33" t="s">
        <v>116</v>
      </c>
      <c r="D87" s="33" t="s">
        <v>117</v>
      </c>
      <c r="E87" s="33" t="s">
        <v>118</v>
      </c>
      <c r="F87" s="33" t="s">
        <v>119</v>
      </c>
      <c r="G87" s="124" t="s">
        <v>120</v>
      </c>
      <c r="H87" s="33" t="s">
        <v>107</v>
      </c>
      <c r="I87" s="33" t="s">
        <v>108</v>
      </c>
      <c r="J87" s="33" t="s">
        <v>109</v>
      </c>
      <c r="K87" s="33" t="s">
        <v>110</v>
      </c>
      <c r="L87" s="124" t="s">
        <v>111</v>
      </c>
      <c r="M87" s="33" t="s">
        <v>98</v>
      </c>
      <c r="N87" s="33" t="s">
        <v>97</v>
      </c>
      <c r="O87" s="33" t="s">
        <v>96</v>
      </c>
      <c r="P87" s="33" t="s">
        <v>95</v>
      </c>
      <c r="Q87" s="124" t="s">
        <v>94</v>
      </c>
      <c r="R87" s="3"/>
      <c r="S87" s="3"/>
      <c r="T87" s="3"/>
      <c r="U87" s="3"/>
      <c r="V87" s="3"/>
    </row>
    <row r="88" spans="1:22" ht="14.55" customHeight="1" x14ac:dyDescent="0.3">
      <c r="A88" s="211" t="s">
        <v>6</v>
      </c>
      <c r="B88" s="212"/>
      <c r="C88" s="32"/>
      <c r="D88" s="32"/>
      <c r="E88" s="32"/>
      <c r="F88" s="32"/>
      <c r="G88" s="123"/>
      <c r="H88" s="32"/>
      <c r="I88" s="32"/>
      <c r="J88" s="32"/>
      <c r="K88" s="32"/>
      <c r="L88" s="123"/>
      <c r="M88" s="32"/>
      <c r="N88" s="32"/>
      <c r="O88" s="32"/>
      <c r="P88" s="32"/>
      <c r="Q88" s="123"/>
      <c r="R88" s="3"/>
      <c r="S88" s="3"/>
      <c r="T88" s="3"/>
      <c r="U88" s="3"/>
      <c r="V88" s="3"/>
    </row>
    <row r="89" spans="1:22" ht="14.55" customHeight="1" outlineLevel="1" x14ac:dyDescent="0.3">
      <c r="A89" s="203" t="s">
        <v>31</v>
      </c>
      <c r="B89" s="204"/>
      <c r="C89" s="35">
        <f>C165</f>
        <v>6456</v>
      </c>
      <c r="D89" s="35">
        <f>D165</f>
        <v>5108</v>
      </c>
      <c r="E89" s="35">
        <f>E165</f>
        <v>6038</v>
      </c>
      <c r="F89" s="35">
        <f>F165</f>
        <v>8903</v>
      </c>
      <c r="G89" s="36">
        <f>F89</f>
        <v>8903</v>
      </c>
      <c r="H89" s="35">
        <f>H165</f>
        <v>7104</v>
      </c>
      <c r="I89" s="35">
        <f>I165</f>
        <v>6252</v>
      </c>
      <c r="J89" s="35">
        <f>J165</f>
        <v>7201</v>
      </c>
      <c r="K89" s="35">
        <f>K165</f>
        <v>8079</v>
      </c>
      <c r="L89" s="36">
        <f>K89</f>
        <v>8079</v>
      </c>
      <c r="M89" s="35">
        <f>M165</f>
        <v>12082</v>
      </c>
      <c r="N89" s="35">
        <f>N165</f>
        <v>11552</v>
      </c>
      <c r="O89" s="35">
        <f>O165</f>
        <v>9637</v>
      </c>
      <c r="P89" s="35">
        <f>P165</f>
        <v>10019</v>
      </c>
      <c r="Q89" s="36">
        <f>P89</f>
        <v>10019</v>
      </c>
      <c r="R89" s="3"/>
      <c r="S89" s="3"/>
      <c r="T89" s="3"/>
      <c r="U89" s="3"/>
      <c r="V89" s="3"/>
    </row>
    <row r="90" spans="1:22" ht="14.55" customHeight="1" outlineLevel="1" x14ac:dyDescent="0.3">
      <c r="A90" s="92" t="s">
        <v>187</v>
      </c>
      <c r="B90" s="93"/>
      <c r="C90" s="35">
        <v>14165</v>
      </c>
      <c r="D90" s="35">
        <v>18185</v>
      </c>
      <c r="E90" s="35">
        <v>20102</v>
      </c>
      <c r="F90" s="35">
        <v>20546</v>
      </c>
      <c r="G90" s="36">
        <f>+F90</f>
        <v>20546</v>
      </c>
      <c r="H90" s="35">
        <v>25202</v>
      </c>
      <c r="I90" s="35">
        <v>29200</v>
      </c>
      <c r="J90" s="35">
        <v>31088</v>
      </c>
      <c r="K90" s="35">
        <v>33632</v>
      </c>
      <c r="L90" s="36">
        <f>+K90</f>
        <v>33632</v>
      </c>
      <c r="M90" s="35">
        <v>31874</v>
      </c>
      <c r="N90" s="35">
        <v>30757</v>
      </c>
      <c r="O90" s="35">
        <v>31569</v>
      </c>
      <c r="P90" s="35">
        <v>31095</v>
      </c>
      <c r="Q90" s="36">
        <f>+P90</f>
        <v>31095</v>
      </c>
      <c r="R90" s="3"/>
      <c r="S90" s="3"/>
      <c r="T90" s="3"/>
      <c r="U90" s="3"/>
      <c r="V90" s="3"/>
    </row>
    <row r="91" spans="1:22" s="48" customFormat="1" ht="14.55" customHeight="1" outlineLevel="1" x14ac:dyDescent="0.3">
      <c r="A91" s="203" t="s">
        <v>169</v>
      </c>
      <c r="B91" s="204"/>
      <c r="C91" s="35">
        <v>2348</v>
      </c>
      <c r="D91" s="35">
        <v>2801</v>
      </c>
      <c r="E91" s="35">
        <v>3070</v>
      </c>
      <c r="F91" s="35">
        <v>3993</v>
      </c>
      <c r="G91" s="36">
        <f>F91</f>
        <v>3993</v>
      </c>
      <c r="H91" s="35">
        <v>3415</v>
      </c>
      <c r="I91" s="35">
        <v>3897</v>
      </c>
      <c r="J91" s="35">
        <v>4424</v>
      </c>
      <c r="K91" s="35">
        <v>5832</v>
      </c>
      <c r="L91" s="36">
        <f>K91</f>
        <v>5832</v>
      </c>
      <c r="M91" s="35">
        <v>5115</v>
      </c>
      <c r="N91" s="35">
        <v>5590</v>
      </c>
      <c r="O91" s="35">
        <v>6058</v>
      </c>
      <c r="P91" s="35">
        <v>7587</v>
      </c>
      <c r="Q91" s="36">
        <f>P91</f>
        <v>7587</v>
      </c>
    </row>
    <row r="92" spans="1:22" ht="16.2" customHeight="1" outlineLevel="1" x14ac:dyDescent="0.45">
      <c r="A92" s="203" t="s">
        <v>64</v>
      </c>
      <c r="B92" s="204"/>
      <c r="C92" s="40">
        <v>843</v>
      </c>
      <c r="D92" s="40">
        <v>916</v>
      </c>
      <c r="E92" s="40">
        <v>1118</v>
      </c>
      <c r="F92" s="40">
        <v>959</v>
      </c>
      <c r="G92" s="41">
        <f>F92</f>
        <v>959</v>
      </c>
      <c r="H92" s="40">
        <v>1209</v>
      </c>
      <c r="I92" s="40">
        <v>1455</v>
      </c>
      <c r="J92" s="40">
        <v>1490</v>
      </c>
      <c r="K92" s="40">
        <v>1020</v>
      </c>
      <c r="L92" s="41">
        <f>K92</f>
        <v>1020</v>
      </c>
      <c r="M92" s="40">
        <v>1341</v>
      </c>
      <c r="N92" s="40">
        <v>1934</v>
      </c>
      <c r="O92" s="40">
        <v>1883</v>
      </c>
      <c r="P92" s="40">
        <v>1779</v>
      </c>
      <c r="Q92" s="41">
        <f>P92</f>
        <v>1779</v>
      </c>
      <c r="R92" s="3"/>
      <c r="S92" s="3"/>
      <c r="T92" s="3"/>
      <c r="U92" s="3"/>
      <c r="V92" s="3"/>
    </row>
    <row r="93" spans="1:22" ht="14.55" customHeight="1" outlineLevel="1" x14ac:dyDescent="0.3">
      <c r="A93" s="94" t="s">
        <v>4</v>
      </c>
      <c r="B93" s="95"/>
      <c r="C93" s="46">
        <f t="shared" ref="C93:Q93" si="134">SUM(C89:C92)</f>
        <v>23812</v>
      </c>
      <c r="D93" s="46">
        <f t="shared" si="134"/>
        <v>27010</v>
      </c>
      <c r="E93" s="46">
        <f t="shared" si="134"/>
        <v>30328</v>
      </c>
      <c r="F93" s="46">
        <f t="shared" si="134"/>
        <v>34401</v>
      </c>
      <c r="G93" s="47">
        <f t="shared" si="134"/>
        <v>34401</v>
      </c>
      <c r="H93" s="46">
        <f t="shared" si="134"/>
        <v>36930</v>
      </c>
      <c r="I93" s="46">
        <f t="shared" si="134"/>
        <v>40804</v>
      </c>
      <c r="J93" s="46">
        <f t="shared" si="134"/>
        <v>44203</v>
      </c>
      <c r="K93" s="46">
        <f t="shared" si="134"/>
        <v>48563</v>
      </c>
      <c r="L93" s="47">
        <f t="shared" si="134"/>
        <v>48563</v>
      </c>
      <c r="M93" s="46">
        <f t="shared" si="134"/>
        <v>50412</v>
      </c>
      <c r="N93" s="46">
        <f t="shared" si="134"/>
        <v>49833</v>
      </c>
      <c r="O93" s="46">
        <f t="shared" si="134"/>
        <v>49147</v>
      </c>
      <c r="P93" s="46">
        <f t="shared" si="134"/>
        <v>50480</v>
      </c>
      <c r="Q93" s="47">
        <f t="shared" si="134"/>
        <v>50480</v>
      </c>
      <c r="R93" s="3"/>
      <c r="S93" s="3"/>
      <c r="T93" s="3"/>
      <c r="U93" s="3"/>
      <c r="V93" s="3"/>
    </row>
    <row r="94" spans="1:22" s="19" customFormat="1" outlineLevel="1" x14ac:dyDescent="0.3">
      <c r="A94" s="92" t="s">
        <v>188</v>
      </c>
      <c r="B94" s="95"/>
      <c r="C94" s="35">
        <v>6467</v>
      </c>
      <c r="D94" s="35">
        <v>7104</v>
      </c>
      <c r="E94" s="35">
        <v>7899</v>
      </c>
      <c r="F94" s="35">
        <v>8591</v>
      </c>
      <c r="G94" s="36">
        <f>+F94</f>
        <v>8591</v>
      </c>
      <c r="H94" s="35">
        <v>9462</v>
      </c>
      <c r="I94" s="35">
        <v>10628</v>
      </c>
      <c r="J94" s="35">
        <v>12158</v>
      </c>
      <c r="K94" s="35">
        <v>13721</v>
      </c>
      <c r="L94" s="36">
        <f>+K94</f>
        <v>13721</v>
      </c>
      <c r="M94" s="35">
        <v>16211</v>
      </c>
      <c r="N94" s="35">
        <v>18357</v>
      </c>
      <c r="O94" s="35">
        <v>21112</v>
      </c>
      <c r="P94" s="35">
        <v>24683</v>
      </c>
      <c r="Q94" s="36">
        <f>+P94</f>
        <v>24683</v>
      </c>
    </row>
    <row r="95" spans="1:22" s="19" customFormat="1" outlineLevel="1" x14ac:dyDescent="0.3">
      <c r="A95" s="92" t="s">
        <v>189</v>
      </c>
      <c r="B95" s="95"/>
      <c r="C95" s="35">
        <v>3067</v>
      </c>
      <c r="D95" s="35">
        <v>2879</v>
      </c>
      <c r="E95" s="35">
        <v>2702</v>
      </c>
      <c r="F95" s="35">
        <v>2535</v>
      </c>
      <c r="G95" s="36">
        <f>+F95</f>
        <v>2535</v>
      </c>
      <c r="H95" s="35">
        <v>2360</v>
      </c>
      <c r="I95" s="35">
        <v>2186</v>
      </c>
      <c r="J95" s="35">
        <v>2050</v>
      </c>
      <c r="K95" s="35">
        <v>1884</v>
      </c>
      <c r="L95" s="36">
        <f>+K95</f>
        <v>1884</v>
      </c>
      <c r="M95" s="35">
        <v>1735</v>
      </c>
      <c r="N95" s="35">
        <v>1573</v>
      </c>
      <c r="O95" s="35">
        <v>1451</v>
      </c>
      <c r="P95" s="35">
        <v>1294</v>
      </c>
      <c r="Q95" s="36">
        <f>+P95</f>
        <v>1294</v>
      </c>
    </row>
    <row r="96" spans="1:22" outlineLevel="1" x14ac:dyDescent="0.3">
      <c r="A96" s="203" t="s">
        <v>32</v>
      </c>
      <c r="B96" s="204"/>
      <c r="C96" s="35">
        <v>18029</v>
      </c>
      <c r="D96" s="35">
        <v>18043</v>
      </c>
      <c r="E96" s="35">
        <v>18085</v>
      </c>
      <c r="F96" s="35">
        <v>18122</v>
      </c>
      <c r="G96" s="36">
        <f>F96</f>
        <v>18122</v>
      </c>
      <c r="H96" s="35">
        <v>18126</v>
      </c>
      <c r="I96" s="35">
        <v>18129</v>
      </c>
      <c r="J96" s="35">
        <v>18213</v>
      </c>
      <c r="K96" s="35">
        <v>18221</v>
      </c>
      <c r="L96" s="36">
        <f>K96</f>
        <v>18221</v>
      </c>
      <c r="M96" s="35">
        <v>18268</v>
      </c>
      <c r="N96" s="35">
        <v>18263</v>
      </c>
      <c r="O96" s="35">
        <v>18304</v>
      </c>
      <c r="P96" s="35">
        <v>18301</v>
      </c>
      <c r="Q96" s="36">
        <f>+P96</f>
        <v>18301</v>
      </c>
      <c r="R96" s="3"/>
      <c r="S96" s="3"/>
      <c r="T96" s="3"/>
      <c r="U96" s="3"/>
      <c r="V96" s="3"/>
    </row>
    <row r="97" spans="1:22" ht="16.2" outlineLevel="1" x14ac:dyDescent="0.45">
      <c r="A97" s="203" t="s">
        <v>59</v>
      </c>
      <c r="B97" s="204"/>
      <c r="C97" s="40">
        <v>886.5</v>
      </c>
      <c r="D97" s="40">
        <v>931.99999999999955</v>
      </c>
      <c r="E97" s="40">
        <v>992.99999999999955</v>
      </c>
      <c r="F97" s="40">
        <v>1312</v>
      </c>
      <c r="G97" s="41">
        <f>F97</f>
        <v>1312</v>
      </c>
      <c r="H97" s="40">
        <v>1836</v>
      </c>
      <c r="I97" s="40">
        <v>2096</v>
      </c>
      <c r="J97" s="40">
        <v>2374</v>
      </c>
      <c r="K97" s="40">
        <v>2135</v>
      </c>
      <c r="L97" s="41">
        <f>K97</f>
        <v>2135</v>
      </c>
      <c r="M97" s="40">
        <v>2319</v>
      </c>
      <c r="N97" s="40">
        <v>2265</v>
      </c>
      <c r="O97" s="40">
        <v>2438</v>
      </c>
      <c r="P97" s="40">
        <v>2576</v>
      </c>
      <c r="Q97" s="41">
        <f>P97</f>
        <v>2576</v>
      </c>
      <c r="R97" s="3"/>
      <c r="S97" s="3"/>
      <c r="T97" s="3"/>
      <c r="U97" s="3"/>
      <c r="V97" s="3"/>
    </row>
    <row r="98" spans="1:22" outlineLevel="1" x14ac:dyDescent="0.3">
      <c r="A98" s="213" t="s">
        <v>5</v>
      </c>
      <c r="B98" s="214"/>
      <c r="C98" s="46">
        <f t="shared" ref="C98:G98" si="135">+SUM(C93:C97)</f>
        <v>52261.5</v>
      </c>
      <c r="D98" s="46">
        <f t="shared" si="135"/>
        <v>55968</v>
      </c>
      <c r="E98" s="46">
        <f t="shared" si="135"/>
        <v>60007</v>
      </c>
      <c r="F98" s="46">
        <f t="shared" si="135"/>
        <v>64961</v>
      </c>
      <c r="G98" s="47">
        <f t="shared" si="135"/>
        <v>64961</v>
      </c>
      <c r="H98" s="46">
        <f>+SUM(H93:H97)</f>
        <v>68714</v>
      </c>
      <c r="I98" s="46">
        <f t="shared" ref="I98:Q98" si="136">+SUM(I93:I97)</f>
        <v>73843</v>
      </c>
      <c r="J98" s="46">
        <f t="shared" si="136"/>
        <v>78998</v>
      </c>
      <c r="K98" s="46">
        <f t="shared" si="136"/>
        <v>84524</v>
      </c>
      <c r="L98" s="47">
        <f t="shared" si="136"/>
        <v>84524</v>
      </c>
      <c r="M98" s="46">
        <f t="shared" si="136"/>
        <v>88945</v>
      </c>
      <c r="N98" s="46">
        <f t="shared" si="136"/>
        <v>90291</v>
      </c>
      <c r="O98" s="46">
        <f t="shared" si="136"/>
        <v>92452</v>
      </c>
      <c r="P98" s="46">
        <f t="shared" si="136"/>
        <v>97334</v>
      </c>
      <c r="Q98" s="47">
        <f t="shared" si="136"/>
        <v>97334</v>
      </c>
      <c r="R98" s="3"/>
      <c r="S98" s="3"/>
      <c r="T98" s="3"/>
      <c r="U98" s="3"/>
      <c r="V98" s="3"/>
    </row>
    <row r="99" spans="1:22" ht="17.399999999999999" x14ac:dyDescent="0.45">
      <c r="A99" s="211" t="s">
        <v>7</v>
      </c>
      <c r="B99" s="212"/>
      <c r="C99" s="33" t="s">
        <v>116</v>
      </c>
      <c r="D99" s="33" t="s">
        <v>117</v>
      </c>
      <c r="E99" s="33" t="s">
        <v>118</v>
      </c>
      <c r="F99" s="33" t="s">
        <v>119</v>
      </c>
      <c r="G99" s="124" t="s">
        <v>120</v>
      </c>
      <c r="H99" s="33" t="s">
        <v>107</v>
      </c>
      <c r="I99" s="33" t="s">
        <v>108</v>
      </c>
      <c r="J99" s="33" t="s">
        <v>109</v>
      </c>
      <c r="K99" s="33" t="s">
        <v>110</v>
      </c>
      <c r="L99" s="124" t="s">
        <v>111</v>
      </c>
      <c r="M99" s="33" t="s">
        <v>98</v>
      </c>
      <c r="N99" s="33" t="s">
        <v>97</v>
      </c>
      <c r="O99" s="33" t="s">
        <v>96</v>
      </c>
      <c r="P99" s="33" t="s">
        <v>95</v>
      </c>
      <c r="Q99" s="124" t="s">
        <v>94</v>
      </c>
      <c r="R99" s="3"/>
      <c r="S99" s="3"/>
      <c r="T99" s="3"/>
      <c r="U99" s="3"/>
      <c r="V99" s="3"/>
    </row>
    <row r="100" spans="1:22" s="48" customFormat="1" outlineLevel="1" x14ac:dyDescent="0.3">
      <c r="A100" s="207" t="s">
        <v>33</v>
      </c>
      <c r="B100" s="208"/>
      <c r="C100" s="112">
        <v>149</v>
      </c>
      <c r="D100" s="112">
        <v>130</v>
      </c>
      <c r="E100" s="112">
        <v>260</v>
      </c>
      <c r="F100" s="112">
        <v>302</v>
      </c>
      <c r="G100" s="113">
        <f>F100</f>
        <v>302</v>
      </c>
      <c r="H100" s="112">
        <v>170</v>
      </c>
      <c r="I100" s="112">
        <v>323</v>
      </c>
      <c r="J100" s="112">
        <v>383</v>
      </c>
      <c r="K100" s="112">
        <v>380</v>
      </c>
      <c r="L100" s="113">
        <f>K100</f>
        <v>380</v>
      </c>
      <c r="M100" s="112">
        <v>593</v>
      </c>
      <c r="N100" s="112">
        <v>419</v>
      </c>
      <c r="O100" s="112">
        <v>590</v>
      </c>
      <c r="P100" s="112">
        <v>820</v>
      </c>
      <c r="Q100" s="113">
        <f>P100</f>
        <v>820</v>
      </c>
    </row>
    <row r="101" spans="1:22" s="48" customFormat="1" outlineLevel="1" x14ac:dyDescent="0.3">
      <c r="A101" s="207" t="s">
        <v>190</v>
      </c>
      <c r="B101" s="208"/>
      <c r="C101" s="112">
        <v>216</v>
      </c>
      <c r="D101" s="112">
        <v>232</v>
      </c>
      <c r="E101" s="112">
        <v>239</v>
      </c>
      <c r="F101" s="112">
        <v>280</v>
      </c>
      <c r="G101" s="113">
        <f>+F101</f>
        <v>280</v>
      </c>
      <c r="H101" s="112">
        <v>278</v>
      </c>
      <c r="I101" s="112">
        <v>278</v>
      </c>
      <c r="J101" s="112">
        <v>314</v>
      </c>
      <c r="K101" s="112">
        <v>390</v>
      </c>
      <c r="L101" s="113">
        <f>+K101</f>
        <v>390</v>
      </c>
      <c r="M101" s="112">
        <v>396</v>
      </c>
      <c r="N101" s="112">
        <v>440</v>
      </c>
      <c r="O101" s="112">
        <v>502</v>
      </c>
      <c r="P101" s="112">
        <v>541</v>
      </c>
      <c r="Q101" s="113">
        <f>+P101</f>
        <v>541</v>
      </c>
    </row>
    <row r="102" spans="1:22" outlineLevel="1" x14ac:dyDescent="0.3">
      <c r="A102" s="207" t="s">
        <v>191</v>
      </c>
      <c r="B102" s="208"/>
      <c r="C102" s="112">
        <v>1389</v>
      </c>
      <c r="D102" s="112">
        <v>1770</v>
      </c>
      <c r="E102" s="112">
        <v>2018</v>
      </c>
      <c r="F102" s="112">
        <v>2203</v>
      </c>
      <c r="G102" s="113">
        <f>F102</f>
        <v>2203</v>
      </c>
      <c r="H102" s="112">
        <v>2400</v>
      </c>
      <c r="I102" s="112">
        <v>2626</v>
      </c>
      <c r="J102" s="112">
        <v>2503</v>
      </c>
      <c r="K102" s="112">
        <v>2892</v>
      </c>
      <c r="L102" s="113">
        <f>K102</f>
        <v>2892</v>
      </c>
      <c r="M102" s="112">
        <v>4003</v>
      </c>
      <c r="N102" s="112">
        <v>3720</v>
      </c>
      <c r="O102" s="112">
        <v>4255</v>
      </c>
      <c r="P102" s="112">
        <v>5509</v>
      </c>
      <c r="Q102" s="113">
        <f>P102</f>
        <v>5509</v>
      </c>
      <c r="R102" s="3"/>
      <c r="S102" s="3"/>
      <c r="T102" s="3"/>
      <c r="U102" s="3"/>
      <c r="V102" s="3"/>
    </row>
    <row r="103" spans="1:22" ht="16.2" outlineLevel="1" x14ac:dyDescent="0.45">
      <c r="A103" s="207" t="s">
        <v>173</v>
      </c>
      <c r="B103" s="208"/>
      <c r="C103" s="114">
        <v>55</v>
      </c>
      <c r="D103" s="114">
        <v>79</v>
      </c>
      <c r="E103" s="114">
        <v>78</v>
      </c>
      <c r="F103" s="114">
        <v>90</v>
      </c>
      <c r="G103" s="115">
        <f>+F103</f>
        <v>90</v>
      </c>
      <c r="H103" s="114">
        <v>80</v>
      </c>
      <c r="I103" s="114">
        <v>88</v>
      </c>
      <c r="J103" s="114">
        <v>105</v>
      </c>
      <c r="K103" s="114">
        <v>98</v>
      </c>
      <c r="L103" s="115">
        <f>+K103</f>
        <v>98</v>
      </c>
      <c r="M103" s="114">
        <v>94</v>
      </c>
      <c r="N103" s="114">
        <v>91</v>
      </c>
      <c r="O103" s="114">
        <v>115</v>
      </c>
      <c r="P103" s="114">
        <v>147</v>
      </c>
      <c r="Q103" s="115">
        <f>+P103</f>
        <v>147</v>
      </c>
      <c r="R103" s="3"/>
      <c r="S103" s="3"/>
      <c r="T103" s="3"/>
      <c r="U103" s="3"/>
      <c r="V103" s="3"/>
    </row>
    <row r="104" spans="1:22" outlineLevel="1" x14ac:dyDescent="0.3">
      <c r="A104" s="205" t="s">
        <v>8</v>
      </c>
      <c r="B104" s="206"/>
      <c r="C104" s="107">
        <f t="shared" ref="C104" si="137">SUM(C100:C103)</f>
        <v>1809</v>
      </c>
      <c r="D104" s="107">
        <f t="shared" ref="D104" si="138">SUM(D100:D103)</f>
        <v>2211</v>
      </c>
      <c r="E104" s="107">
        <f t="shared" ref="E104" si="139">SUM(E100:E103)</f>
        <v>2595</v>
      </c>
      <c r="F104" s="107">
        <f t="shared" ref="F104" si="140">SUM(F100:F103)</f>
        <v>2875</v>
      </c>
      <c r="G104" s="108">
        <f t="shared" ref="G104:Q104" si="141">SUM(G100:G103)</f>
        <v>2875</v>
      </c>
      <c r="H104" s="107">
        <f t="shared" si="141"/>
        <v>2928</v>
      </c>
      <c r="I104" s="107">
        <f t="shared" si="141"/>
        <v>3315</v>
      </c>
      <c r="J104" s="107">
        <f t="shared" si="141"/>
        <v>3305</v>
      </c>
      <c r="K104" s="107">
        <f t="shared" si="141"/>
        <v>3760</v>
      </c>
      <c r="L104" s="108">
        <f t="shared" si="141"/>
        <v>3760</v>
      </c>
      <c r="M104" s="107">
        <f t="shared" si="141"/>
        <v>5086</v>
      </c>
      <c r="N104" s="107">
        <f t="shared" si="141"/>
        <v>4670</v>
      </c>
      <c r="O104" s="107">
        <f t="shared" si="141"/>
        <v>5462</v>
      </c>
      <c r="P104" s="107">
        <f t="shared" si="141"/>
        <v>7017</v>
      </c>
      <c r="Q104" s="108">
        <f t="shared" si="141"/>
        <v>7017</v>
      </c>
      <c r="R104" s="3"/>
      <c r="S104" s="3"/>
      <c r="T104" s="3"/>
      <c r="U104" s="3"/>
      <c r="V104" s="3"/>
    </row>
    <row r="105" spans="1:22" ht="15.75" customHeight="1" outlineLevel="1" x14ac:dyDescent="0.45">
      <c r="A105" s="207" t="s">
        <v>34</v>
      </c>
      <c r="B105" s="208"/>
      <c r="C105" s="114">
        <v>1865</v>
      </c>
      <c r="D105" s="114">
        <v>2162</v>
      </c>
      <c r="E105" s="114">
        <v>2291</v>
      </c>
      <c r="F105" s="114">
        <v>2892</v>
      </c>
      <c r="G105" s="115">
        <f t="shared" ref="G105" si="142">F105</f>
        <v>2892</v>
      </c>
      <c r="H105" s="114">
        <v>3598</v>
      </c>
      <c r="I105" s="114">
        <v>4047</v>
      </c>
      <c r="J105" s="114">
        <v>4485</v>
      </c>
      <c r="K105" s="114">
        <v>6417</v>
      </c>
      <c r="L105" s="115">
        <f t="shared" ref="L105" si="143">K105</f>
        <v>6417</v>
      </c>
      <c r="M105" s="114">
        <v>6239</v>
      </c>
      <c r="N105" s="114">
        <v>6239</v>
      </c>
      <c r="O105" s="114">
        <v>6648</v>
      </c>
      <c r="P105" s="114">
        <v>6190</v>
      </c>
      <c r="Q105" s="115">
        <f t="shared" ref="Q105" si="144">P105</f>
        <v>6190</v>
      </c>
      <c r="R105" s="3"/>
      <c r="S105" s="3"/>
      <c r="T105" s="3"/>
      <c r="U105" s="3"/>
      <c r="V105" s="3"/>
    </row>
    <row r="106" spans="1:22" outlineLevel="1" x14ac:dyDescent="0.3">
      <c r="A106" s="242" t="s">
        <v>9</v>
      </c>
      <c r="B106" s="243"/>
      <c r="C106" s="107">
        <f t="shared" ref="C106:Q106" si="145">SUM(C104:C105)</f>
        <v>3674</v>
      </c>
      <c r="D106" s="107">
        <f t="shared" si="145"/>
        <v>4373</v>
      </c>
      <c r="E106" s="107">
        <f t="shared" si="145"/>
        <v>4886</v>
      </c>
      <c r="F106" s="107">
        <f t="shared" si="145"/>
        <v>5767</v>
      </c>
      <c r="G106" s="108">
        <f t="shared" si="145"/>
        <v>5767</v>
      </c>
      <c r="H106" s="107">
        <f t="shared" si="145"/>
        <v>6526</v>
      </c>
      <c r="I106" s="107">
        <f t="shared" si="145"/>
        <v>7362</v>
      </c>
      <c r="J106" s="107">
        <f t="shared" si="145"/>
        <v>7790</v>
      </c>
      <c r="K106" s="107">
        <f t="shared" si="145"/>
        <v>10177</v>
      </c>
      <c r="L106" s="108">
        <f t="shared" si="145"/>
        <v>10177</v>
      </c>
      <c r="M106" s="107">
        <f t="shared" si="145"/>
        <v>11325</v>
      </c>
      <c r="N106" s="107">
        <f t="shared" si="145"/>
        <v>10909</v>
      </c>
      <c r="O106" s="107">
        <f t="shared" si="145"/>
        <v>12110</v>
      </c>
      <c r="P106" s="107">
        <f t="shared" si="145"/>
        <v>13207</v>
      </c>
      <c r="Q106" s="108">
        <f t="shared" si="145"/>
        <v>13207</v>
      </c>
      <c r="R106" s="3"/>
      <c r="S106" s="3"/>
      <c r="T106" s="3"/>
      <c r="U106" s="3"/>
      <c r="V106" s="3"/>
    </row>
    <row r="107" spans="1:22" ht="17.399999999999999" x14ac:dyDescent="0.45">
      <c r="A107" s="211" t="s">
        <v>72</v>
      </c>
      <c r="B107" s="212"/>
      <c r="C107" s="33" t="s">
        <v>116</v>
      </c>
      <c r="D107" s="33" t="s">
        <v>117</v>
      </c>
      <c r="E107" s="33" t="s">
        <v>118</v>
      </c>
      <c r="F107" s="33" t="s">
        <v>119</v>
      </c>
      <c r="G107" s="124" t="s">
        <v>120</v>
      </c>
      <c r="H107" s="33" t="s">
        <v>107</v>
      </c>
      <c r="I107" s="33" t="s">
        <v>108</v>
      </c>
      <c r="J107" s="33" t="s">
        <v>109</v>
      </c>
      <c r="K107" s="33" t="s">
        <v>110</v>
      </c>
      <c r="L107" s="124" t="s">
        <v>111</v>
      </c>
      <c r="M107" s="33" t="s">
        <v>98</v>
      </c>
      <c r="N107" s="33" t="s">
        <v>97</v>
      </c>
      <c r="O107" s="33" t="s">
        <v>96</v>
      </c>
      <c r="P107" s="33" t="s">
        <v>95</v>
      </c>
      <c r="Q107" s="124" t="s">
        <v>94</v>
      </c>
      <c r="R107" s="3"/>
      <c r="S107" s="3"/>
      <c r="T107" s="3"/>
      <c r="U107" s="3"/>
      <c r="V107" s="3"/>
    </row>
    <row r="108" spans="1:22" outlineLevel="1" x14ac:dyDescent="0.3">
      <c r="A108" s="203" t="s">
        <v>10</v>
      </c>
      <c r="B108" s="204"/>
      <c r="C108" s="35">
        <v>0</v>
      </c>
      <c r="D108" s="35">
        <v>0</v>
      </c>
      <c r="E108" s="35">
        <v>0</v>
      </c>
      <c r="F108" s="35">
        <v>0</v>
      </c>
      <c r="G108" s="36">
        <f>F108</f>
        <v>0</v>
      </c>
      <c r="H108" s="35">
        <v>0</v>
      </c>
      <c r="I108" s="35">
        <v>0</v>
      </c>
      <c r="J108" s="35">
        <v>0</v>
      </c>
      <c r="K108" s="35">
        <v>0</v>
      </c>
      <c r="L108" s="36">
        <f>K108</f>
        <v>0</v>
      </c>
      <c r="M108" s="35">
        <v>0</v>
      </c>
      <c r="N108" s="35">
        <v>0</v>
      </c>
      <c r="O108" s="35">
        <v>0</v>
      </c>
      <c r="P108" s="35">
        <v>0</v>
      </c>
      <c r="Q108" s="36">
        <f>P108</f>
        <v>0</v>
      </c>
      <c r="R108" s="3"/>
      <c r="S108" s="3"/>
      <c r="T108" s="3"/>
      <c r="U108" s="3"/>
      <c r="V108" s="3"/>
    </row>
    <row r="109" spans="1:22" outlineLevel="1" x14ac:dyDescent="0.3">
      <c r="A109" s="92" t="s">
        <v>60</v>
      </c>
      <c r="B109" s="93"/>
      <c r="C109" s="35">
        <v>35673</v>
      </c>
      <c r="D109" s="35">
        <v>36494</v>
      </c>
      <c r="E109" s="35">
        <v>37391</v>
      </c>
      <c r="F109" s="35">
        <v>38227</v>
      </c>
      <c r="G109" s="36">
        <f>F109</f>
        <v>38227</v>
      </c>
      <c r="H109" s="35">
        <v>38639</v>
      </c>
      <c r="I109" s="35">
        <v>39291</v>
      </c>
      <c r="J109" s="35">
        <v>40199</v>
      </c>
      <c r="K109" s="35">
        <v>40584</v>
      </c>
      <c r="L109" s="36">
        <f>K109</f>
        <v>40584</v>
      </c>
      <c r="M109" s="35">
        <v>41134</v>
      </c>
      <c r="N109" s="35">
        <v>41832</v>
      </c>
      <c r="O109" s="35">
        <v>42352</v>
      </c>
      <c r="P109" s="35">
        <v>42906</v>
      </c>
      <c r="Q109" s="36">
        <f>P109</f>
        <v>42906</v>
      </c>
      <c r="R109" s="3"/>
      <c r="S109" s="3"/>
      <c r="T109" s="3"/>
      <c r="U109" s="3"/>
      <c r="V109" s="3"/>
    </row>
    <row r="110" spans="1:22" outlineLevel="1" x14ac:dyDescent="0.3">
      <c r="A110" s="215" t="s">
        <v>192</v>
      </c>
      <c r="B110" s="216"/>
      <c r="C110" s="35">
        <v>-276</v>
      </c>
      <c r="D110" s="35">
        <v>-374</v>
      </c>
      <c r="E110" s="35">
        <v>-372</v>
      </c>
      <c r="F110" s="35">
        <v>-703</v>
      </c>
      <c r="G110" s="36">
        <f>+F110</f>
        <v>-703</v>
      </c>
      <c r="H110" s="35">
        <v>-626</v>
      </c>
      <c r="I110" s="35">
        <v>-370</v>
      </c>
      <c r="J110" s="35">
        <v>-200</v>
      </c>
      <c r="K110" s="35">
        <v>-227</v>
      </c>
      <c r="L110" s="36">
        <f>+K110</f>
        <v>-227</v>
      </c>
      <c r="M110" s="35">
        <v>-294</v>
      </c>
      <c r="N110" s="35">
        <v>-687</v>
      </c>
      <c r="O110" s="35">
        <v>-777</v>
      </c>
      <c r="P110" s="35">
        <v>-760</v>
      </c>
      <c r="Q110" s="36">
        <f>+P110</f>
        <v>-760</v>
      </c>
      <c r="R110" s="3"/>
      <c r="S110" s="3"/>
      <c r="T110" s="3"/>
      <c r="U110" s="3"/>
      <c r="V110" s="3"/>
    </row>
    <row r="111" spans="1:22" ht="16.2" outlineLevel="1" x14ac:dyDescent="0.45">
      <c r="A111" s="215" t="s">
        <v>35</v>
      </c>
      <c r="B111" s="216"/>
      <c r="C111" s="40">
        <v>13190.5</v>
      </c>
      <c r="D111" s="40">
        <v>15475</v>
      </c>
      <c r="E111" s="40">
        <v>18102</v>
      </c>
      <c r="F111" s="40">
        <v>21670</v>
      </c>
      <c r="G111" s="41">
        <f>F111</f>
        <v>21670</v>
      </c>
      <c r="H111" s="40">
        <v>24175</v>
      </c>
      <c r="I111" s="40">
        <v>27560</v>
      </c>
      <c r="J111" s="40">
        <v>31209</v>
      </c>
      <c r="K111" s="40">
        <v>33990</v>
      </c>
      <c r="L111" s="41">
        <f>K111</f>
        <v>33990</v>
      </c>
      <c r="M111" s="40">
        <v>36780</v>
      </c>
      <c r="N111" s="40">
        <v>38237</v>
      </c>
      <c r="O111" s="40">
        <v>38767</v>
      </c>
      <c r="P111" s="40">
        <v>41981</v>
      </c>
      <c r="Q111" s="41">
        <f>P111</f>
        <v>41981</v>
      </c>
      <c r="R111" s="3"/>
      <c r="S111" s="3"/>
      <c r="T111" s="3"/>
      <c r="U111" s="3"/>
      <c r="V111" s="3"/>
    </row>
    <row r="112" spans="1:22" outlineLevel="1" x14ac:dyDescent="0.3">
      <c r="A112" s="213" t="s">
        <v>36</v>
      </c>
      <c r="B112" s="214"/>
      <c r="C112" s="46">
        <f t="shared" ref="C112:H112" si="146">SUM(C108:C111)</f>
        <v>48587.5</v>
      </c>
      <c r="D112" s="46">
        <f t="shared" si="146"/>
        <v>51595</v>
      </c>
      <c r="E112" s="46">
        <f t="shared" si="146"/>
        <v>55121</v>
      </c>
      <c r="F112" s="46">
        <f t="shared" si="146"/>
        <v>59194</v>
      </c>
      <c r="G112" s="47">
        <f t="shared" si="146"/>
        <v>59194</v>
      </c>
      <c r="H112" s="46">
        <f t="shared" si="146"/>
        <v>62188</v>
      </c>
      <c r="I112" s="46">
        <f t="shared" ref="I112:L112" si="147">SUM(I108:I111)</f>
        <v>66481</v>
      </c>
      <c r="J112" s="46">
        <f t="shared" si="147"/>
        <v>71208</v>
      </c>
      <c r="K112" s="46">
        <f t="shared" si="147"/>
        <v>74347</v>
      </c>
      <c r="L112" s="47">
        <f t="shared" si="147"/>
        <v>74347</v>
      </c>
      <c r="M112" s="46">
        <f t="shared" ref="M112" si="148">SUM(M108:M111)</f>
        <v>77620</v>
      </c>
      <c r="N112" s="46">
        <f t="shared" ref="N112" si="149">SUM(N108:N111)</f>
        <v>79382</v>
      </c>
      <c r="O112" s="46">
        <f t="shared" ref="O112" si="150">SUM(O108:O111)</f>
        <v>80342</v>
      </c>
      <c r="P112" s="46">
        <f>SUM(P108:P111)</f>
        <v>84127</v>
      </c>
      <c r="Q112" s="47">
        <f t="shared" ref="Q112" si="151">SUM(Q108:Q111)</f>
        <v>84127</v>
      </c>
      <c r="R112" s="3"/>
      <c r="S112" s="3"/>
      <c r="T112" s="3"/>
      <c r="U112" s="3"/>
      <c r="V112" s="3"/>
    </row>
    <row r="113" spans="1:22" outlineLevel="1" x14ac:dyDescent="0.3">
      <c r="A113" s="244" t="s">
        <v>11</v>
      </c>
      <c r="B113" s="245"/>
      <c r="C113" s="56">
        <f t="shared" ref="C113:Q113" si="152">C112+C106</f>
        <v>52261.5</v>
      </c>
      <c r="D113" s="56">
        <f t="shared" si="152"/>
        <v>55968</v>
      </c>
      <c r="E113" s="56">
        <f t="shared" si="152"/>
        <v>60007</v>
      </c>
      <c r="F113" s="56">
        <f t="shared" si="152"/>
        <v>64961</v>
      </c>
      <c r="G113" s="57">
        <f t="shared" si="152"/>
        <v>64961</v>
      </c>
      <c r="H113" s="56">
        <f t="shared" si="152"/>
        <v>68714</v>
      </c>
      <c r="I113" s="56">
        <f t="shared" si="152"/>
        <v>73843</v>
      </c>
      <c r="J113" s="56">
        <f t="shared" si="152"/>
        <v>78998</v>
      </c>
      <c r="K113" s="56">
        <f t="shared" si="152"/>
        <v>84524</v>
      </c>
      <c r="L113" s="57">
        <f t="shared" si="152"/>
        <v>84524</v>
      </c>
      <c r="M113" s="56">
        <f t="shared" si="152"/>
        <v>88945</v>
      </c>
      <c r="N113" s="56">
        <f t="shared" si="152"/>
        <v>90291</v>
      </c>
      <c r="O113" s="56">
        <f t="shared" si="152"/>
        <v>92452</v>
      </c>
      <c r="P113" s="56">
        <f t="shared" si="152"/>
        <v>97334</v>
      </c>
      <c r="Q113" s="57">
        <f t="shared" si="152"/>
        <v>97334</v>
      </c>
      <c r="R113" s="3"/>
      <c r="S113" s="3"/>
      <c r="T113" s="3"/>
      <c r="U113" s="3"/>
      <c r="V113" s="3"/>
    </row>
    <row r="114" spans="1:22" x14ac:dyDescent="0.3">
      <c r="A114" s="18"/>
      <c r="B114" s="14"/>
      <c r="C114" s="4">
        <f t="shared" ref="C114:O114" si="153">C113-C98</f>
        <v>0</v>
      </c>
      <c r="D114" s="4">
        <f t="shared" si="153"/>
        <v>0</v>
      </c>
      <c r="E114" s="4">
        <f t="shared" si="153"/>
        <v>0</v>
      </c>
      <c r="F114" s="4">
        <f t="shared" si="153"/>
        <v>0</v>
      </c>
      <c r="G114" s="4">
        <f t="shared" si="153"/>
        <v>0</v>
      </c>
      <c r="H114" s="4">
        <f t="shared" si="153"/>
        <v>0</v>
      </c>
      <c r="I114" s="4">
        <f t="shared" si="153"/>
        <v>0</v>
      </c>
      <c r="J114" s="4">
        <f t="shared" si="153"/>
        <v>0</v>
      </c>
      <c r="K114" s="4">
        <f t="shared" si="153"/>
        <v>0</v>
      </c>
      <c r="L114" s="4">
        <f t="shared" si="153"/>
        <v>0</v>
      </c>
      <c r="M114" s="4">
        <f t="shared" si="153"/>
        <v>0</v>
      </c>
      <c r="N114" s="4">
        <f t="shared" si="153"/>
        <v>0</v>
      </c>
      <c r="O114" s="4">
        <f t="shared" si="153"/>
        <v>0</v>
      </c>
      <c r="P114" s="78">
        <f t="shared" ref="P114:Q114" si="154">ROUND((P113-P98),0)</f>
        <v>0</v>
      </c>
      <c r="Q114" s="78">
        <f t="shared" si="154"/>
        <v>0</v>
      </c>
      <c r="R114" s="3"/>
      <c r="S114" s="3"/>
      <c r="T114" s="3"/>
      <c r="U114" s="3"/>
      <c r="V114" s="3"/>
    </row>
    <row r="115" spans="1:22" ht="15.6" x14ac:dyDescent="0.3">
      <c r="A115" s="211" t="s">
        <v>22</v>
      </c>
      <c r="B115" s="212"/>
      <c r="C115" s="32" t="s">
        <v>112</v>
      </c>
      <c r="D115" s="32" t="s">
        <v>113</v>
      </c>
      <c r="E115" s="32" t="s">
        <v>114</v>
      </c>
      <c r="F115" s="32" t="s">
        <v>115</v>
      </c>
      <c r="G115" s="123" t="s">
        <v>115</v>
      </c>
      <c r="H115" s="32" t="s">
        <v>99</v>
      </c>
      <c r="I115" s="32" t="s">
        <v>104</v>
      </c>
      <c r="J115" s="32" t="s">
        <v>105</v>
      </c>
      <c r="K115" s="32" t="s">
        <v>106</v>
      </c>
      <c r="L115" s="123" t="s">
        <v>106</v>
      </c>
      <c r="M115" s="32" t="s">
        <v>101</v>
      </c>
      <c r="N115" s="32" t="s">
        <v>100</v>
      </c>
      <c r="O115" s="32" t="s">
        <v>102</v>
      </c>
      <c r="P115" s="32" t="s">
        <v>103</v>
      </c>
      <c r="Q115" s="123" t="s">
        <v>103</v>
      </c>
      <c r="R115" s="3"/>
      <c r="S115" s="3"/>
      <c r="T115" s="3"/>
      <c r="U115" s="3"/>
      <c r="V115" s="3"/>
    </row>
    <row r="116" spans="1:22" ht="16.2" x14ac:dyDescent="0.45">
      <c r="A116" s="219"/>
      <c r="B116" s="220"/>
      <c r="C116" s="33" t="s">
        <v>116</v>
      </c>
      <c r="D116" s="33" t="s">
        <v>117</v>
      </c>
      <c r="E116" s="33" t="s">
        <v>118</v>
      </c>
      <c r="F116" s="33" t="s">
        <v>119</v>
      </c>
      <c r="G116" s="124" t="s">
        <v>120</v>
      </c>
      <c r="H116" s="33" t="s">
        <v>107</v>
      </c>
      <c r="I116" s="33" t="s">
        <v>108</v>
      </c>
      <c r="J116" s="33" t="s">
        <v>109</v>
      </c>
      <c r="K116" s="33" t="s">
        <v>110</v>
      </c>
      <c r="L116" s="124" t="s">
        <v>111</v>
      </c>
      <c r="M116" s="33" t="s">
        <v>98</v>
      </c>
      <c r="N116" s="33" t="s">
        <v>97</v>
      </c>
      <c r="O116" s="33" t="s">
        <v>96</v>
      </c>
      <c r="P116" s="33" t="s">
        <v>95</v>
      </c>
      <c r="Q116" s="124" t="s">
        <v>94</v>
      </c>
      <c r="R116" s="3"/>
      <c r="S116" s="3"/>
      <c r="T116" s="3"/>
      <c r="U116" s="3"/>
      <c r="V116" s="3"/>
    </row>
    <row r="117" spans="1:22" outlineLevel="1" x14ac:dyDescent="0.3">
      <c r="A117" s="92" t="s">
        <v>193</v>
      </c>
      <c r="B117" s="24"/>
      <c r="C117" s="55">
        <v>90</v>
      </c>
      <c r="D117" s="55">
        <v>90</v>
      </c>
      <c r="E117" s="55">
        <v>90</v>
      </c>
      <c r="F117" s="55">
        <v>90</v>
      </c>
      <c r="G117" s="59"/>
      <c r="H117" s="55">
        <v>90</v>
      </c>
      <c r="I117" s="55">
        <v>90</v>
      </c>
      <c r="J117" s="55">
        <v>90</v>
      </c>
      <c r="K117" s="55">
        <v>90</v>
      </c>
      <c r="L117" s="59"/>
      <c r="M117" s="55">
        <v>90</v>
      </c>
      <c r="N117" s="55">
        <v>90</v>
      </c>
      <c r="O117" s="55">
        <v>90</v>
      </c>
      <c r="P117" s="55">
        <v>90</v>
      </c>
      <c r="Q117" s="59"/>
      <c r="R117" s="3"/>
      <c r="S117" s="3"/>
      <c r="T117" s="3"/>
      <c r="U117" s="3"/>
      <c r="V117" s="3"/>
    </row>
    <row r="118" spans="1:22" outlineLevel="1" x14ac:dyDescent="0.3">
      <c r="A118" s="203" t="s">
        <v>23</v>
      </c>
      <c r="B118" s="204"/>
      <c r="C118" s="71"/>
      <c r="D118" s="71">
        <f>D8/(AVERAGE(D91,C91))</f>
        <v>2.4999028937657797</v>
      </c>
      <c r="E118" s="71">
        <f>E8/(AVERAGE(E91,D91))</f>
        <v>2.3883495145631066</v>
      </c>
      <c r="F118" s="71">
        <f>F8/(AVERAGE(F91,E91))</f>
        <v>2.4944074755769501</v>
      </c>
      <c r="G118" s="72"/>
      <c r="H118" s="71">
        <f>H8/(AVERAGE(H91,F91))</f>
        <v>2.1684665226781856</v>
      </c>
      <c r="I118" s="71">
        <f>I8/(AVERAGE(I91,H91))</f>
        <v>2.5495076586433258</v>
      </c>
      <c r="J118" s="71">
        <f>J8/(AVERAGE(J91,I91))</f>
        <v>2.4823939430356927</v>
      </c>
      <c r="K118" s="71">
        <f>K8/(AVERAGE(K91,J91))</f>
        <v>2.5296411856474257</v>
      </c>
      <c r="L118" s="25"/>
      <c r="M118" s="71">
        <f>M8/(AVERAGE(M91,K91))</f>
        <v>2.186169726865808</v>
      </c>
      <c r="N118" s="71">
        <f>N8/(AVERAGE(N91,M91))</f>
        <v>2.471929005137786</v>
      </c>
      <c r="O118" s="71">
        <f>O8/(AVERAGE(O91,N91))</f>
        <v>2.3569711538461537</v>
      </c>
      <c r="P118" s="71">
        <f>P8/(AVERAGE(P91,O91))</f>
        <v>2.479149871747893</v>
      </c>
      <c r="Q118" s="72"/>
      <c r="R118" s="3"/>
      <c r="S118" s="3"/>
      <c r="T118" s="3"/>
      <c r="U118" s="3"/>
      <c r="V118" s="3"/>
    </row>
    <row r="119" spans="1:22" s="48" customFormat="1" outlineLevel="1" x14ac:dyDescent="0.3">
      <c r="A119" s="203" t="s">
        <v>49</v>
      </c>
      <c r="B119" s="204"/>
      <c r="C119" s="55"/>
      <c r="D119" s="55">
        <f>D117/D118</f>
        <v>36.001398384089498</v>
      </c>
      <c r="E119" s="55">
        <f>E117/E118</f>
        <v>37.682926829268297</v>
      </c>
      <c r="F119" s="55">
        <f>F117/F118</f>
        <v>36.080712907253947</v>
      </c>
      <c r="G119" s="72"/>
      <c r="H119" s="55">
        <f>H117/H118</f>
        <v>41.503984063745023</v>
      </c>
      <c r="I119" s="55">
        <f>I117/I118</f>
        <v>35.300933376247187</v>
      </c>
      <c r="J119" s="55">
        <f>J117/J118</f>
        <v>36.255325329202172</v>
      </c>
      <c r="K119" s="55">
        <f>K117/K118</f>
        <v>35.578168362627203</v>
      </c>
      <c r="L119" s="72"/>
      <c r="M119" s="55">
        <f>M117/M118</f>
        <v>41.167892361691457</v>
      </c>
      <c r="N119" s="55">
        <f>N117/N118</f>
        <v>36.408812636988891</v>
      </c>
      <c r="O119" s="55">
        <f>O117/O118</f>
        <v>38.184599694033658</v>
      </c>
      <c r="P119" s="55">
        <f>P117/P118</f>
        <v>36.302766938630718</v>
      </c>
      <c r="Q119" s="72"/>
    </row>
    <row r="120" spans="1:22" s="48" customFormat="1" outlineLevel="1" x14ac:dyDescent="0.3">
      <c r="A120" s="207" t="s">
        <v>50</v>
      </c>
      <c r="B120" s="208"/>
      <c r="C120" s="118"/>
      <c r="D120" s="118"/>
      <c r="E120" s="118"/>
      <c r="F120" s="119"/>
      <c r="G120" s="120"/>
      <c r="H120" s="118">
        <f>H14/(AVERAGE(H100,F100))</f>
        <v>2.7754237288135593</v>
      </c>
      <c r="I120" s="118">
        <f>I14/(AVERAGE(I100,H100))</f>
        <v>2.5963488843813387</v>
      </c>
      <c r="J120" s="118">
        <f>J14/(AVERAGE(J100,I100))</f>
        <v>1.518413597733711</v>
      </c>
      <c r="K120" s="118">
        <f>K14/(AVERAGE(K100,J100))</f>
        <v>1.798165137614679</v>
      </c>
      <c r="L120" s="120"/>
      <c r="M120" s="118">
        <f>M14/(AVERAGE(M100,K100))</f>
        <v>1.5560123329907503</v>
      </c>
      <c r="N120" s="118">
        <f>N14/(AVERAGE(N100,M100))</f>
        <v>1.5335968379446641</v>
      </c>
      <c r="O120" s="118">
        <f>O14/(AVERAGE(O100,N100))</f>
        <v>1.8691774033696729</v>
      </c>
      <c r="P120" s="118">
        <f>P14/(AVERAGE(P100,O100))</f>
        <v>1.3843971631205674</v>
      </c>
      <c r="Q120" s="121"/>
    </row>
    <row r="121" spans="1:22" s="48" customFormat="1" outlineLevel="1" x14ac:dyDescent="0.3">
      <c r="A121" s="207" t="s">
        <v>24</v>
      </c>
      <c r="B121" s="208"/>
      <c r="C121" s="112"/>
      <c r="D121" s="112"/>
      <c r="E121" s="112"/>
      <c r="F121" s="112"/>
      <c r="G121" s="122"/>
      <c r="H121" s="112">
        <f>H117/H120</f>
        <v>32.427480916030532</v>
      </c>
      <c r="I121" s="112">
        <f>I117/I120</f>
        <v>34.6640625</v>
      </c>
      <c r="J121" s="112">
        <f>J117/J120</f>
        <v>59.272388059701498</v>
      </c>
      <c r="K121" s="112">
        <f>K117/K120</f>
        <v>50.051020408163261</v>
      </c>
      <c r="L121" s="122"/>
      <c r="M121" s="112">
        <f>M117/M120</f>
        <v>57.840158520475562</v>
      </c>
      <c r="N121" s="112">
        <f>N117/N120</f>
        <v>58.685567010309278</v>
      </c>
      <c r="O121" s="112">
        <f>O117/O120</f>
        <v>48.149522799575827</v>
      </c>
      <c r="P121" s="112">
        <f>P117/P120</f>
        <v>65.010245901639351</v>
      </c>
      <c r="Q121" s="122"/>
    </row>
    <row r="122" spans="1:22" s="48" customFormat="1" outlineLevel="1" x14ac:dyDescent="0.3">
      <c r="A122" s="207" t="s">
        <v>194</v>
      </c>
      <c r="B122" s="208"/>
      <c r="C122" s="185">
        <f t="shared" ref="C122:Q122" si="155">+C90/C113</f>
        <v>0.27104082355079745</v>
      </c>
      <c r="D122" s="185">
        <f t="shared" si="155"/>
        <v>0.32491781017724414</v>
      </c>
      <c r="E122" s="185">
        <f t="shared" si="155"/>
        <v>0.33499425067075506</v>
      </c>
      <c r="F122" s="185">
        <f t="shared" si="155"/>
        <v>0.31628207693847077</v>
      </c>
      <c r="G122" s="122">
        <f t="shared" si="155"/>
        <v>0.31628207693847077</v>
      </c>
      <c r="H122" s="185">
        <f t="shared" si="155"/>
        <v>0.36676659778211135</v>
      </c>
      <c r="I122" s="185">
        <f t="shared" si="155"/>
        <v>0.3954335549747437</v>
      </c>
      <c r="J122" s="185">
        <f t="shared" si="155"/>
        <v>0.39352895010000255</v>
      </c>
      <c r="K122" s="185">
        <f t="shared" si="155"/>
        <v>0.39789882163645829</v>
      </c>
      <c r="L122" s="122">
        <f t="shared" si="155"/>
        <v>0.39789882163645829</v>
      </c>
      <c r="M122" s="185">
        <f t="shared" si="155"/>
        <v>0.35835628759345661</v>
      </c>
      <c r="N122" s="185">
        <f t="shared" si="155"/>
        <v>0.34064303197439388</v>
      </c>
      <c r="O122" s="185">
        <f t="shared" si="155"/>
        <v>0.34146367844935749</v>
      </c>
      <c r="P122" s="185">
        <f t="shared" si="155"/>
        <v>0.31946698995212364</v>
      </c>
      <c r="Q122" s="122">
        <f t="shared" si="155"/>
        <v>0.31946698995212364</v>
      </c>
    </row>
    <row r="123" spans="1:22" outlineLevel="1" x14ac:dyDescent="0.3">
      <c r="A123" s="229" t="s">
        <v>63</v>
      </c>
      <c r="B123" s="230"/>
      <c r="C123" s="183"/>
      <c r="D123" s="183">
        <f>+D129/((D94+C94)/2)</f>
        <v>8.621324883943704E-2</v>
      </c>
      <c r="E123" s="183">
        <f>+E129/((E94+D94)/2)</f>
        <v>7.8784243151369726E-2</v>
      </c>
      <c r="F123" s="183">
        <f>+F129/((F94+E94)/2)</f>
        <v>7.4469375379017586E-2</v>
      </c>
      <c r="G123" s="184"/>
      <c r="H123" s="183">
        <f>+H129/((H94+F94)/2)</f>
        <v>7.433667534481804E-2</v>
      </c>
      <c r="I123" s="183">
        <f>+I129/((I94+H94)/2)</f>
        <v>7.2573419611747139E-2</v>
      </c>
      <c r="J123" s="183">
        <f>+J129/((J94+I94)/2)</f>
        <v>6.7848679013429294E-2</v>
      </c>
      <c r="K123" s="183">
        <f>+K129/((K94+J94)/2)</f>
        <v>6.5844893543027166E-2</v>
      </c>
      <c r="L123" s="184"/>
      <c r="M123" s="183">
        <f>+M129/((M94+K94)/2)</f>
        <v>6.3410396899639176E-2</v>
      </c>
      <c r="N123" s="183">
        <f>+N129/((N94+M94)/2)</f>
        <v>5.9824114788243461E-2</v>
      </c>
      <c r="O123" s="183">
        <f>+O129/((O94+N94)/2)</f>
        <v>5.609465656591249E-2</v>
      </c>
      <c r="P123" s="183">
        <f>+P129/((P94+O94)/2)</f>
        <v>5.349929031553663E-2</v>
      </c>
      <c r="Q123" s="184"/>
      <c r="R123" s="3"/>
      <c r="S123" s="3"/>
      <c r="T123" s="3"/>
      <c r="U123" s="3"/>
      <c r="V123" s="3"/>
    </row>
    <row r="124" spans="1:22" x14ac:dyDescent="0.3">
      <c r="A124" s="18"/>
      <c r="B124" s="18"/>
      <c r="G124" s="9"/>
      <c r="L124" s="10"/>
      <c r="M124" s="10"/>
      <c r="N124" s="26"/>
      <c r="R124" s="3"/>
      <c r="S124" s="3"/>
      <c r="T124" s="3"/>
      <c r="U124" s="3"/>
      <c r="V124" s="3"/>
    </row>
    <row r="125" spans="1:22" ht="15.6" x14ac:dyDescent="0.3">
      <c r="A125" s="211" t="s">
        <v>135</v>
      </c>
      <c r="B125" s="212"/>
      <c r="C125" s="32" t="s">
        <v>112</v>
      </c>
      <c r="D125" s="32" t="s">
        <v>113</v>
      </c>
      <c r="E125" s="32" t="s">
        <v>114</v>
      </c>
      <c r="F125" s="32" t="s">
        <v>115</v>
      </c>
      <c r="G125" s="123" t="s">
        <v>115</v>
      </c>
      <c r="H125" s="32" t="s">
        <v>99</v>
      </c>
      <c r="I125" s="32" t="s">
        <v>104</v>
      </c>
      <c r="J125" s="32" t="s">
        <v>105</v>
      </c>
      <c r="K125" s="32" t="s">
        <v>106</v>
      </c>
      <c r="L125" s="123" t="s">
        <v>106</v>
      </c>
      <c r="M125" s="32" t="s">
        <v>101</v>
      </c>
      <c r="N125" s="32" t="s">
        <v>100</v>
      </c>
      <c r="O125" s="32" t="s">
        <v>102</v>
      </c>
      <c r="P125" s="32" t="s">
        <v>103</v>
      </c>
      <c r="Q125" s="123" t="s">
        <v>103</v>
      </c>
      <c r="R125" s="3"/>
      <c r="S125" s="3"/>
      <c r="T125" s="3"/>
      <c r="U125" s="3"/>
      <c r="V125" s="3"/>
    </row>
    <row r="126" spans="1:22" ht="16.2" x14ac:dyDescent="0.45">
      <c r="A126" s="96" t="s">
        <v>3</v>
      </c>
      <c r="B126" s="128"/>
      <c r="C126" s="33" t="s">
        <v>116</v>
      </c>
      <c r="D126" s="33" t="s">
        <v>117</v>
      </c>
      <c r="E126" s="33" t="s">
        <v>118</v>
      </c>
      <c r="F126" s="33" t="s">
        <v>119</v>
      </c>
      <c r="G126" s="124" t="s">
        <v>120</v>
      </c>
      <c r="H126" s="33" t="s">
        <v>107</v>
      </c>
      <c r="I126" s="33" t="s">
        <v>108</v>
      </c>
      <c r="J126" s="33" t="s">
        <v>109</v>
      </c>
      <c r="K126" s="33" t="s">
        <v>110</v>
      </c>
      <c r="L126" s="124" t="s">
        <v>111</v>
      </c>
      <c r="M126" s="33" t="s">
        <v>98</v>
      </c>
      <c r="N126" s="33" t="s">
        <v>97</v>
      </c>
      <c r="O126" s="33" t="s">
        <v>96</v>
      </c>
      <c r="P126" s="33" t="s">
        <v>95</v>
      </c>
      <c r="Q126" s="124" t="s">
        <v>94</v>
      </c>
      <c r="R126" s="3"/>
      <c r="S126" s="3"/>
      <c r="T126" s="3"/>
      <c r="U126" s="3"/>
      <c r="V126" s="3"/>
    </row>
    <row r="127" spans="1:22" outlineLevel="1" x14ac:dyDescent="0.3">
      <c r="A127" s="231" t="s">
        <v>12</v>
      </c>
      <c r="B127" s="232"/>
      <c r="C127" s="8"/>
      <c r="D127" s="8"/>
      <c r="E127" s="8"/>
      <c r="F127" s="8"/>
      <c r="G127" s="13"/>
      <c r="H127" s="8"/>
      <c r="I127" s="35"/>
      <c r="J127" s="8"/>
      <c r="K127" s="8"/>
      <c r="L127" s="13"/>
      <c r="M127" s="8"/>
      <c r="N127" s="8"/>
      <c r="O127" s="8"/>
      <c r="P127" s="8"/>
      <c r="Q127" s="13"/>
      <c r="R127" s="3"/>
      <c r="S127" s="3"/>
      <c r="T127" s="3"/>
      <c r="U127" s="3"/>
      <c r="V127" s="3"/>
    </row>
    <row r="128" spans="1:22" outlineLevel="1" x14ac:dyDescent="0.3">
      <c r="A128" s="70" t="s">
        <v>13</v>
      </c>
      <c r="B128" s="166"/>
      <c r="C128" s="35">
        <f t="shared" ref="C128:Q128" si="156">C20</f>
        <v>1510</v>
      </c>
      <c r="D128" s="35">
        <f t="shared" si="156"/>
        <v>2055</v>
      </c>
      <c r="E128" s="35">
        <f t="shared" si="156"/>
        <v>2379</v>
      </c>
      <c r="F128" s="35">
        <f t="shared" si="156"/>
        <v>4273</v>
      </c>
      <c r="G128" s="36">
        <f t="shared" si="156"/>
        <v>10217</v>
      </c>
      <c r="H128" s="35">
        <f t="shared" si="156"/>
        <v>3064</v>
      </c>
      <c r="I128" s="35">
        <f t="shared" si="156"/>
        <v>3894</v>
      </c>
      <c r="J128" s="35">
        <f t="shared" si="156"/>
        <v>4707</v>
      </c>
      <c r="K128" s="35">
        <f t="shared" si="156"/>
        <v>4268</v>
      </c>
      <c r="L128" s="36">
        <f t="shared" si="156"/>
        <v>15933</v>
      </c>
      <c r="M128" s="35">
        <f t="shared" si="156"/>
        <v>4988</v>
      </c>
      <c r="N128" s="35">
        <f t="shared" si="156"/>
        <v>5106</v>
      </c>
      <c r="O128" s="35">
        <f t="shared" si="156"/>
        <v>5137</v>
      </c>
      <c r="P128" s="35">
        <f t="shared" si="156"/>
        <v>6882</v>
      </c>
      <c r="Q128" s="36">
        <f t="shared" si="156"/>
        <v>22113</v>
      </c>
      <c r="R128" s="3"/>
      <c r="S128" s="3"/>
      <c r="T128" s="3"/>
      <c r="U128" s="3"/>
      <c r="V128" s="3"/>
    </row>
    <row r="129" spans="1:22" outlineLevel="1" x14ac:dyDescent="0.3">
      <c r="A129" s="70" t="s">
        <v>61</v>
      </c>
      <c r="B129" s="166"/>
      <c r="C129" s="35">
        <v>552</v>
      </c>
      <c r="D129" s="35">
        <v>585</v>
      </c>
      <c r="E129" s="35">
        <v>591</v>
      </c>
      <c r="F129" s="35">
        <v>614</v>
      </c>
      <c r="G129" s="36">
        <f t="shared" ref="G129:G135" si="157">SUM(C129:F129)</f>
        <v>2342</v>
      </c>
      <c r="H129" s="35">
        <v>671</v>
      </c>
      <c r="I129" s="35">
        <v>729</v>
      </c>
      <c r="J129" s="35">
        <v>773</v>
      </c>
      <c r="K129" s="35">
        <f>3025-J129-I129-H129</f>
        <v>852</v>
      </c>
      <c r="L129" s="36">
        <f t="shared" ref="L129:L135" si="158">SUM(H129:K129)</f>
        <v>3025</v>
      </c>
      <c r="M129" s="35">
        <v>949</v>
      </c>
      <c r="N129" s="35">
        <f>1983-M129</f>
        <v>1034</v>
      </c>
      <c r="O129" s="35">
        <f>3090-N129-M129</f>
        <v>1107</v>
      </c>
      <c r="P129" s="35">
        <f>4315-O129-N129-M129</f>
        <v>1225</v>
      </c>
      <c r="Q129" s="36">
        <f t="shared" ref="Q129:Q135" si="159">SUM(M129:P129)</f>
        <v>4315</v>
      </c>
      <c r="R129" s="3"/>
      <c r="S129" s="3"/>
      <c r="T129" s="3"/>
      <c r="U129" s="3"/>
      <c r="V129" s="3"/>
    </row>
    <row r="130" spans="1:22" outlineLevel="1" x14ac:dyDescent="0.3">
      <c r="A130" s="70" t="s">
        <v>164</v>
      </c>
      <c r="B130" s="166"/>
      <c r="C130" s="35">
        <v>0</v>
      </c>
      <c r="D130" s="35">
        <v>0</v>
      </c>
      <c r="E130" s="35">
        <v>0</v>
      </c>
      <c r="F130" s="35">
        <v>0</v>
      </c>
      <c r="G130" s="36">
        <f t="shared" si="157"/>
        <v>0</v>
      </c>
      <c r="H130" s="35">
        <v>0</v>
      </c>
      <c r="I130" s="35">
        <v>0</v>
      </c>
      <c r="J130" s="35">
        <v>0</v>
      </c>
      <c r="K130" s="35">
        <f t="shared" ref="K130:K134" si="160">0-J130-I130-H130</f>
        <v>0</v>
      </c>
      <c r="L130" s="36">
        <f t="shared" si="158"/>
        <v>0</v>
      </c>
      <c r="M130" s="35">
        <v>0</v>
      </c>
      <c r="N130" s="35">
        <v>0</v>
      </c>
      <c r="O130" s="35">
        <v>0</v>
      </c>
      <c r="P130" s="35">
        <v>0</v>
      </c>
      <c r="Q130" s="36">
        <f t="shared" si="159"/>
        <v>0</v>
      </c>
      <c r="R130" s="3"/>
      <c r="S130" s="3"/>
      <c r="T130" s="3"/>
      <c r="U130" s="3"/>
      <c r="V130" s="3"/>
    </row>
    <row r="131" spans="1:22" outlineLevel="1" x14ac:dyDescent="0.3">
      <c r="A131" s="70" t="s">
        <v>165</v>
      </c>
      <c r="B131" s="166"/>
      <c r="C131" s="35">
        <v>747</v>
      </c>
      <c r="D131" s="35">
        <v>805</v>
      </c>
      <c r="E131" s="35">
        <v>819</v>
      </c>
      <c r="F131" s="35">
        <f>3218-E131-D131-C131</f>
        <v>847</v>
      </c>
      <c r="G131" s="36">
        <f t="shared" si="157"/>
        <v>3218</v>
      </c>
      <c r="H131" s="35">
        <v>867</v>
      </c>
      <c r="I131" s="35">
        <v>1032</v>
      </c>
      <c r="J131" s="35">
        <v>1010</v>
      </c>
      <c r="K131" s="35">
        <f>3723-J131-I131-H131</f>
        <v>814</v>
      </c>
      <c r="L131" s="36">
        <f t="shared" si="158"/>
        <v>3723</v>
      </c>
      <c r="M131" s="35">
        <v>955</v>
      </c>
      <c r="N131" s="35">
        <f>2141-M131</f>
        <v>1186</v>
      </c>
      <c r="O131" s="35">
        <f>3180-N131-M131</f>
        <v>1039</v>
      </c>
      <c r="P131" s="35">
        <f>4152-O131-N131-M131</f>
        <v>972</v>
      </c>
      <c r="Q131" s="36">
        <f t="shared" si="159"/>
        <v>4152</v>
      </c>
      <c r="R131" s="3"/>
      <c r="S131" s="3"/>
      <c r="T131" s="3"/>
      <c r="U131" s="3"/>
      <c r="V131" s="3"/>
    </row>
    <row r="132" spans="1:22" outlineLevel="1" x14ac:dyDescent="0.3">
      <c r="A132" s="70" t="s">
        <v>58</v>
      </c>
      <c r="B132" s="166"/>
      <c r="C132" s="35">
        <v>-65</v>
      </c>
      <c r="D132" s="35">
        <v>-77</v>
      </c>
      <c r="E132" s="35">
        <v>19</v>
      </c>
      <c r="F132" s="35">
        <f>-457-E132-D132-C132</f>
        <v>-334</v>
      </c>
      <c r="G132" s="36">
        <f t="shared" si="157"/>
        <v>-457</v>
      </c>
      <c r="H132" s="35">
        <v>-84</v>
      </c>
      <c r="I132" s="35">
        <v>26</v>
      </c>
      <c r="J132" s="35">
        <v>-94</v>
      </c>
      <c r="K132" s="35">
        <f>-377-J132-I132-H132</f>
        <v>-225</v>
      </c>
      <c r="L132" s="36">
        <f t="shared" si="158"/>
        <v>-377</v>
      </c>
      <c r="M132" s="35">
        <v>-47</v>
      </c>
      <c r="N132" s="35">
        <f>54-M132</f>
        <v>101</v>
      </c>
      <c r="O132" s="35">
        <f>83-N132-M132</f>
        <v>29</v>
      </c>
      <c r="P132" s="35">
        <f>286-O132-N132-M132</f>
        <v>203</v>
      </c>
      <c r="Q132" s="36">
        <f t="shared" si="159"/>
        <v>286</v>
      </c>
      <c r="R132" s="3"/>
      <c r="S132" s="3"/>
      <c r="T132" s="3"/>
      <c r="U132" s="3"/>
      <c r="V132" s="3"/>
    </row>
    <row r="133" spans="1:22" outlineLevel="1" x14ac:dyDescent="0.3">
      <c r="A133" s="70" t="s">
        <v>166</v>
      </c>
      <c r="B133" s="166"/>
      <c r="C133" s="35">
        <v>494</v>
      </c>
      <c r="D133" s="35">
        <v>467</v>
      </c>
      <c r="E133" s="35">
        <v>459</v>
      </c>
      <c r="F133" s="35">
        <f>0-E133-D133-C133</f>
        <v>-1420</v>
      </c>
      <c r="G133" s="36">
        <f t="shared" si="157"/>
        <v>0</v>
      </c>
      <c r="H133" s="35">
        <v>0</v>
      </c>
      <c r="I133" s="35">
        <v>0</v>
      </c>
      <c r="J133" s="35">
        <v>0</v>
      </c>
      <c r="K133" s="35">
        <f t="shared" si="160"/>
        <v>0</v>
      </c>
      <c r="L133" s="36">
        <f t="shared" si="158"/>
        <v>0</v>
      </c>
      <c r="M133" s="35">
        <v>0</v>
      </c>
      <c r="N133" s="35">
        <f t="shared" ref="N133:N134" si="161">0-M133</f>
        <v>0</v>
      </c>
      <c r="O133" s="35">
        <v>0</v>
      </c>
      <c r="P133" s="35">
        <f t="shared" ref="P133:P134" si="162">0-O133-N133-M133</f>
        <v>0</v>
      </c>
      <c r="Q133" s="36">
        <f t="shared" si="159"/>
        <v>0</v>
      </c>
      <c r="R133" s="3"/>
      <c r="S133" s="3"/>
      <c r="T133" s="3"/>
      <c r="U133" s="3"/>
      <c r="V133" s="3"/>
    </row>
    <row r="134" spans="1:22" outlineLevel="1" x14ac:dyDescent="0.3">
      <c r="A134" s="70" t="s">
        <v>167</v>
      </c>
      <c r="B134" s="166"/>
      <c r="C134" s="35">
        <v>-494</v>
      </c>
      <c r="D134" s="35">
        <v>-467</v>
      </c>
      <c r="E134" s="35">
        <v>-459</v>
      </c>
      <c r="F134" s="35">
        <f>0-E134-D134-C134</f>
        <v>1420</v>
      </c>
      <c r="G134" s="36">
        <f t="shared" si="157"/>
        <v>0</v>
      </c>
      <c r="H134" s="35">
        <v>0</v>
      </c>
      <c r="I134" s="35">
        <v>0</v>
      </c>
      <c r="J134" s="35">
        <v>0</v>
      </c>
      <c r="K134" s="35">
        <f t="shared" si="160"/>
        <v>0</v>
      </c>
      <c r="L134" s="36">
        <f t="shared" si="158"/>
        <v>0</v>
      </c>
      <c r="M134" s="35">
        <v>0</v>
      </c>
      <c r="N134" s="35">
        <f t="shared" si="161"/>
        <v>0</v>
      </c>
      <c r="O134" s="35">
        <v>0</v>
      </c>
      <c r="P134" s="35">
        <f t="shared" si="162"/>
        <v>0</v>
      </c>
      <c r="Q134" s="36">
        <f t="shared" si="159"/>
        <v>0</v>
      </c>
      <c r="R134" s="3"/>
      <c r="S134" s="3"/>
      <c r="T134" s="3"/>
      <c r="U134" s="3"/>
      <c r="V134" s="3"/>
    </row>
    <row r="135" spans="1:22" outlineLevel="1" x14ac:dyDescent="0.3">
      <c r="A135" s="179" t="s">
        <v>168</v>
      </c>
      <c r="B135" s="180"/>
      <c r="C135" s="35">
        <v>13</v>
      </c>
      <c r="D135" s="35">
        <v>6</v>
      </c>
      <c r="E135" s="35">
        <v>4</v>
      </c>
      <c r="F135" s="35">
        <v>7</v>
      </c>
      <c r="G135" s="36">
        <f t="shared" si="157"/>
        <v>30</v>
      </c>
      <c r="H135" s="35">
        <v>5</v>
      </c>
      <c r="I135" s="35">
        <v>7</v>
      </c>
      <c r="J135" s="35">
        <v>7</v>
      </c>
      <c r="K135" s="35">
        <f>24-J135-I135-H135</f>
        <v>5</v>
      </c>
      <c r="L135" s="36">
        <f t="shared" si="158"/>
        <v>24</v>
      </c>
      <c r="M135" s="35">
        <v>8</v>
      </c>
      <c r="N135" s="35">
        <f>18-M135</f>
        <v>10</v>
      </c>
      <c r="O135" s="35">
        <f>19-N135-M135</f>
        <v>1</v>
      </c>
      <c r="P135" s="35">
        <f>-64-O135-N135-M135</f>
        <v>-83</v>
      </c>
      <c r="Q135" s="36">
        <f t="shared" si="159"/>
        <v>-64</v>
      </c>
      <c r="R135" s="3"/>
      <c r="S135" s="3"/>
      <c r="T135" s="3"/>
      <c r="U135" s="3"/>
      <c r="V135" s="3"/>
    </row>
    <row r="136" spans="1:22" outlineLevel="1" x14ac:dyDescent="0.3">
      <c r="A136" s="209" t="s">
        <v>62</v>
      </c>
      <c r="B136" s="210"/>
      <c r="C136" s="110"/>
      <c r="D136" s="110"/>
      <c r="E136" s="110"/>
      <c r="F136" s="110"/>
      <c r="G136" s="111"/>
      <c r="H136" s="110"/>
      <c r="I136" s="110"/>
      <c r="J136" s="110"/>
      <c r="K136" s="110"/>
      <c r="L136" s="111"/>
      <c r="M136" s="110"/>
      <c r="N136" s="110"/>
      <c r="O136" s="110"/>
      <c r="P136" s="110"/>
      <c r="Q136" s="111"/>
      <c r="R136" s="3"/>
      <c r="S136" s="3"/>
      <c r="T136" s="3"/>
      <c r="U136" s="3"/>
      <c r="V136" s="3"/>
    </row>
    <row r="137" spans="1:22" outlineLevel="1" x14ac:dyDescent="0.3">
      <c r="A137" s="207" t="s">
        <v>169</v>
      </c>
      <c r="B137" s="208"/>
      <c r="C137" s="112">
        <v>267</v>
      </c>
      <c r="D137" s="112">
        <v>-492</v>
      </c>
      <c r="E137" s="112">
        <v>-253</v>
      </c>
      <c r="F137" s="112">
        <v>-1011</v>
      </c>
      <c r="G137" s="113">
        <f>SUM(C137:F137)</f>
        <v>-1489</v>
      </c>
      <c r="H137" s="112">
        <v>609</v>
      </c>
      <c r="I137" s="112">
        <v>-386</v>
      </c>
      <c r="J137" s="112">
        <v>-458</v>
      </c>
      <c r="K137" s="112">
        <f>-1609-J137-I137-H137</f>
        <v>-1374</v>
      </c>
      <c r="L137" s="113">
        <f>SUM(H137:K137)</f>
        <v>-1609</v>
      </c>
      <c r="M137" s="112">
        <v>788</v>
      </c>
      <c r="N137" s="112">
        <f>161-M137</f>
        <v>-627</v>
      </c>
      <c r="O137" s="112">
        <f>-328-N137-M137</f>
        <v>-489</v>
      </c>
      <c r="P137" s="112">
        <f>-1892-O137-N137-M137</f>
        <v>-1564</v>
      </c>
      <c r="Q137" s="113">
        <f>SUM(M137:P137)</f>
        <v>-1892</v>
      </c>
      <c r="R137" s="3"/>
      <c r="S137" s="3"/>
      <c r="T137" s="3"/>
      <c r="U137" s="3"/>
      <c r="V137" s="3"/>
    </row>
    <row r="138" spans="1:22" outlineLevel="1" x14ac:dyDescent="0.3">
      <c r="A138" s="207" t="s">
        <v>64</v>
      </c>
      <c r="B138" s="208"/>
      <c r="C138" s="112">
        <v>-106</v>
      </c>
      <c r="D138" s="112">
        <v>-154</v>
      </c>
      <c r="E138" s="112">
        <v>-51</v>
      </c>
      <c r="F138" s="112">
        <f>-159-E138-D138-C138</f>
        <v>152</v>
      </c>
      <c r="G138" s="113">
        <f t="shared" ref="G138:G143" si="163">SUM(C138:F138)</f>
        <v>-159</v>
      </c>
      <c r="H138" s="112">
        <v>-365</v>
      </c>
      <c r="I138" s="112">
        <v>-212</v>
      </c>
      <c r="J138" s="112">
        <v>-57</v>
      </c>
      <c r="K138" s="112">
        <f>-192-J138-I138-H138</f>
        <v>442</v>
      </c>
      <c r="L138" s="113">
        <f>SUM(H138:K138)</f>
        <v>-192</v>
      </c>
      <c r="M138" s="112">
        <v>-365</v>
      </c>
      <c r="N138" s="112">
        <f>-898-M138</f>
        <v>-533</v>
      </c>
      <c r="O138" s="112">
        <f>-889-N138-M138</f>
        <v>9</v>
      </c>
      <c r="P138" s="112">
        <f>-690-O138-N138-M138</f>
        <v>199</v>
      </c>
      <c r="Q138" s="113">
        <f>SUM(M138:P138)</f>
        <v>-690</v>
      </c>
      <c r="R138" s="3"/>
      <c r="S138" s="3"/>
      <c r="T138" s="3"/>
      <c r="U138" s="3"/>
      <c r="V138" s="3"/>
    </row>
    <row r="139" spans="1:22" outlineLevel="1" x14ac:dyDescent="0.3">
      <c r="A139" s="61" t="s">
        <v>170</v>
      </c>
      <c r="B139" s="54"/>
      <c r="C139" s="112">
        <v>15</v>
      </c>
      <c r="D139" s="112">
        <v>-11</v>
      </c>
      <c r="E139" s="112">
        <v>42</v>
      </c>
      <c r="F139" s="112">
        <v>-32</v>
      </c>
      <c r="G139" s="113">
        <f t="shared" si="163"/>
        <v>14</v>
      </c>
      <c r="H139" s="112">
        <v>31</v>
      </c>
      <c r="I139" s="112">
        <v>51</v>
      </c>
      <c r="J139" s="112">
        <v>47</v>
      </c>
      <c r="K139" s="112">
        <f>154-J139-I139-H139</f>
        <v>25</v>
      </c>
      <c r="L139" s="113">
        <f>SUM(H139:K139)</f>
        <v>154</v>
      </c>
      <c r="M139" s="112">
        <v>22</v>
      </c>
      <c r="N139" s="112">
        <f>-59-M139</f>
        <v>-81</v>
      </c>
      <c r="O139" s="112">
        <f>-99-N139-M139</f>
        <v>-40</v>
      </c>
      <c r="P139" s="112">
        <f>-159-O139-N139-M139</f>
        <v>-60</v>
      </c>
      <c r="Q139" s="113">
        <f>SUM(M139:P139)</f>
        <v>-159</v>
      </c>
      <c r="R139" s="3"/>
      <c r="S139" s="3"/>
      <c r="T139" s="3"/>
      <c r="U139" s="3"/>
      <c r="V139" s="3"/>
    </row>
    <row r="140" spans="1:22" outlineLevel="1" x14ac:dyDescent="0.3">
      <c r="A140" s="207" t="s">
        <v>33</v>
      </c>
      <c r="B140" s="208"/>
      <c r="C140" s="112">
        <v>2</v>
      </c>
      <c r="D140" s="112">
        <v>-41</v>
      </c>
      <c r="E140" s="112">
        <v>18</v>
      </c>
      <c r="F140" s="112">
        <v>35</v>
      </c>
      <c r="G140" s="113">
        <f t="shared" si="163"/>
        <v>14</v>
      </c>
      <c r="H140" s="112">
        <v>-10</v>
      </c>
      <c r="I140" s="112">
        <v>-28</v>
      </c>
      <c r="J140" s="112">
        <v>31</v>
      </c>
      <c r="K140" s="112">
        <f>43-J140-I140-H140</f>
        <v>50</v>
      </c>
      <c r="L140" s="113">
        <f t="shared" ref="L140:L143" si="164">SUM(H140:K140)</f>
        <v>43</v>
      </c>
      <c r="M140" s="112">
        <v>1</v>
      </c>
      <c r="N140" s="112">
        <f>50-M140</f>
        <v>49</v>
      </c>
      <c r="O140" s="112">
        <f>88-N140-M140</f>
        <v>38</v>
      </c>
      <c r="P140" s="112">
        <f>221-O140-N140-M140</f>
        <v>133</v>
      </c>
      <c r="Q140" s="113">
        <f t="shared" ref="Q140:Q143" si="165">SUM(M140:P140)</f>
        <v>221</v>
      </c>
      <c r="R140" s="3"/>
      <c r="S140" s="3"/>
      <c r="T140" s="3"/>
      <c r="U140" s="3"/>
      <c r="V140" s="3"/>
    </row>
    <row r="141" spans="1:22" outlineLevel="1" x14ac:dyDescent="0.3">
      <c r="A141" s="61" t="s">
        <v>171</v>
      </c>
      <c r="B141" s="54"/>
      <c r="C141" s="112">
        <v>-3</v>
      </c>
      <c r="D141" s="112">
        <v>17</v>
      </c>
      <c r="E141" s="112">
        <v>6</v>
      </c>
      <c r="F141" s="112">
        <v>47</v>
      </c>
      <c r="G141" s="113">
        <f t="shared" si="163"/>
        <v>67</v>
      </c>
      <c r="H141" s="112">
        <v>-3</v>
      </c>
      <c r="I141" s="112">
        <v>-7</v>
      </c>
      <c r="J141" s="112">
        <v>32</v>
      </c>
      <c r="K141" s="112">
        <f>95-J141-I141-H141</f>
        <v>73</v>
      </c>
      <c r="L141" s="113">
        <f t="shared" si="164"/>
        <v>95</v>
      </c>
      <c r="M141" s="112">
        <v>2</v>
      </c>
      <c r="N141" s="112">
        <f>53-M141</f>
        <v>51</v>
      </c>
      <c r="O141" s="112">
        <f>116-N141-M141</f>
        <v>63</v>
      </c>
      <c r="P141" s="112">
        <f>157-O141-N141-M141</f>
        <v>41</v>
      </c>
      <c r="Q141" s="113">
        <f t="shared" si="165"/>
        <v>157</v>
      </c>
      <c r="R141" s="3"/>
      <c r="S141" s="3"/>
      <c r="T141" s="3"/>
      <c r="U141" s="3"/>
      <c r="V141" s="3"/>
    </row>
    <row r="142" spans="1:22" outlineLevel="1" x14ac:dyDescent="0.3">
      <c r="A142" s="61" t="s">
        <v>172</v>
      </c>
      <c r="B142" s="54"/>
      <c r="C142" s="112">
        <v>-16</v>
      </c>
      <c r="D142" s="112">
        <v>438</v>
      </c>
      <c r="E142" s="112">
        <v>219</v>
      </c>
      <c r="F142" s="112">
        <f>1014-E142-D142-C142</f>
        <v>373</v>
      </c>
      <c r="G142" s="113">
        <f t="shared" si="163"/>
        <v>1014</v>
      </c>
      <c r="H142" s="112">
        <v>61</v>
      </c>
      <c r="I142" s="112">
        <v>96</v>
      </c>
      <c r="J142" s="112">
        <v>-62</v>
      </c>
      <c r="K142" s="112">
        <f>309-J142-I142-H142</f>
        <v>214</v>
      </c>
      <c r="L142" s="113">
        <f t="shared" si="164"/>
        <v>309</v>
      </c>
      <c r="M142" s="112">
        <v>707</v>
      </c>
      <c r="N142" s="112">
        <f>690-M142</f>
        <v>-17</v>
      </c>
      <c r="O142" s="112">
        <f>1044-N142-M142</f>
        <v>354</v>
      </c>
      <c r="P142" s="112">
        <f>1417-O142-N142-M142</f>
        <v>373</v>
      </c>
      <c r="Q142" s="113">
        <f t="shared" si="165"/>
        <v>1417</v>
      </c>
      <c r="R142" s="3"/>
      <c r="S142" s="3"/>
      <c r="T142" s="3"/>
      <c r="U142" s="3"/>
      <c r="V142" s="3"/>
    </row>
    <row r="143" spans="1:22" outlineLevel="1" x14ac:dyDescent="0.3">
      <c r="A143" s="61" t="s">
        <v>173</v>
      </c>
      <c r="B143" s="54"/>
      <c r="C143" s="112">
        <v>-2</v>
      </c>
      <c r="D143" s="112">
        <v>25</v>
      </c>
      <c r="E143" s="112">
        <v>-2</v>
      </c>
      <c r="F143" s="112">
        <v>14</v>
      </c>
      <c r="G143" s="113">
        <f t="shared" si="163"/>
        <v>35</v>
      </c>
      <c r="H143" s="112">
        <v>-10</v>
      </c>
      <c r="I143" s="112">
        <v>6</v>
      </c>
      <c r="J143" s="112">
        <v>16</v>
      </c>
      <c r="K143" s="112">
        <f>4-J143-I143-H143</f>
        <v>-8</v>
      </c>
      <c r="L143" s="113">
        <f t="shared" si="164"/>
        <v>4</v>
      </c>
      <c r="M143" s="112">
        <v>-5</v>
      </c>
      <c r="N143" s="112">
        <f>-4-M143</f>
        <v>1</v>
      </c>
      <c r="O143" s="112">
        <f>20-N143-M143</f>
        <v>24</v>
      </c>
      <c r="P143" s="112">
        <f>53-O143-N143-M143</f>
        <v>33</v>
      </c>
      <c r="Q143" s="113">
        <f t="shared" si="165"/>
        <v>53</v>
      </c>
      <c r="R143" s="3"/>
      <c r="S143" s="3"/>
      <c r="T143" s="3"/>
      <c r="U143" s="3"/>
      <c r="V143" s="3"/>
    </row>
    <row r="144" spans="1:22" ht="16.2" outlineLevel="1" x14ac:dyDescent="0.45">
      <c r="A144" s="207" t="s">
        <v>174</v>
      </c>
      <c r="B144" s="208"/>
      <c r="C144" s="114">
        <v>69</v>
      </c>
      <c r="D144" s="114">
        <v>42</v>
      </c>
      <c r="E144" s="114">
        <v>-214</v>
      </c>
      <c r="F144" s="114">
        <f>1262-E144-D144-C144</f>
        <v>1365</v>
      </c>
      <c r="G144" s="115">
        <f>SUM(C144:F144)</f>
        <v>1262</v>
      </c>
      <c r="H144" s="114">
        <v>222</v>
      </c>
      <c r="I144" s="114">
        <v>151</v>
      </c>
      <c r="J144" s="114">
        <v>176</v>
      </c>
      <c r="K144" s="114">
        <f>3084-J144-I144-H144</f>
        <v>2535</v>
      </c>
      <c r="L144" s="115">
        <f>SUM(H144:K144)</f>
        <v>3084</v>
      </c>
      <c r="M144" s="114">
        <v>-143</v>
      </c>
      <c r="N144" s="114">
        <f>-124-M144</f>
        <v>19</v>
      </c>
      <c r="O144" s="114">
        <f>102-N144-M144</f>
        <v>226</v>
      </c>
      <c r="P144" s="114">
        <f>-635-O144-N144-M144</f>
        <v>-737</v>
      </c>
      <c r="Q144" s="115">
        <f>SUM(M144:P144)</f>
        <v>-635</v>
      </c>
      <c r="R144" s="3"/>
      <c r="S144" s="3"/>
      <c r="T144" s="3"/>
      <c r="U144" s="3"/>
      <c r="V144" s="3"/>
    </row>
    <row r="145" spans="1:22" outlineLevel="1" x14ac:dyDescent="0.3">
      <c r="A145" s="205" t="s">
        <v>14</v>
      </c>
      <c r="B145" s="206"/>
      <c r="C145" s="107">
        <f t="shared" ref="C145:Q145" si="166">C128+SUM(C129:C144)</f>
        <v>2983</v>
      </c>
      <c r="D145" s="107">
        <f t="shared" si="166"/>
        <v>3198</v>
      </c>
      <c r="E145" s="107">
        <f t="shared" si="166"/>
        <v>3577</v>
      </c>
      <c r="F145" s="107">
        <f t="shared" si="166"/>
        <v>6350</v>
      </c>
      <c r="G145" s="108">
        <f t="shared" si="166"/>
        <v>16108</v>
      </c>
      <c r="H145" s="107">
        <f t="shared" si="166"/>
        <v>5058</v>
      </c>
      <c r="I145" s="107">
        <f t="shared" si="166"/>
        <v>5359</v>
      </c>
      <c r="J145" s="107">
        <f t="shared" si="166"/>
        <v>6128</v>
      </c>
      <c r="K145" s="107">
        <f t="shared" si="166"/>
        <v>7671</v>
      </c>
      <c r="L145" s="108">
        <f t="shared" si="166"/>
        <v>24216</v>
      </c>
      <c r="M145" s="107">
        <f t="shared" si="166"/>
        <v>7860</v>
      </c>
      <c r="N145" s="107">
        <f t="shared" si="166"/>
        <v>6299</v>
      </c>
      <c r="O145" s="107">
        <f t="shared" si="166"/>
        <v>7498</v>
      </c>
      <c r="P145" s="107">
        <f t="shared" si="166"/>
        <v>7617</v>
      </c>
      <c r="Q145" s="108">
        <f t="shared" si="166"/>
        <v>29274</v>
      </c>
      <c r="R145" s="3"/>
      <c r="S145" s="3"/>
      <c r="T145" s="3"/>
      <c r="U145" s="3"/>
      <c r="V145" s="3"/>
    </row>
    <row r="146" spans="1:22" outlineLevel="1" x14ac:dyDescent="0.3">
      <c r="A146" s="246" t="s">
        <v>15</v>
      </c>
      <c r="B146" s="247"/>
      <c r="C146" s="86"/>
      <c r="D146" s="86"/>
      <c r="E146" s="86"/>
      <c r="F146" s="86"/>
      <c r="G146" s="109"/>
      <c r="H146" s="86"/>
      <c r="I146" s="86"/>
      <c r="J146" s="86"/>
      <c r="K146" s="86"/>
      <c r="L146" s="109"/>
      <c r="M146" s="86"/>
      <c r="N146" s="86"/>
      <c r="O146" s="86"/>
      <c r="P146" s="86"/>
      <c r="Q146" s="109"/>
      <c r="R146" s="3"/>
      <c r="S146" s="3"/>
      <c r="T146" s="3"/>
      <c r="U146" s="3"/>
      <c r="V146" s="3"/>
    </row>
    <row r="147" spans="1:22" outlineLevel="1" x14ac:dyDescent="0.3">
      <c r="A147" s="203" t="s">
        <v>175</v>
      </c>
      <c r="B147" s="204"/>
      <c r="C147" s="35">
        <v>-1132</v>
      </c>
      <c r="D147" s="35">
        <v>-995</v>
      </c>
      <c r="E147" s="35">
        <v>-1095</v>
      </c>
      <c r="F147" s="35">
        <v>-1269</v>
      </c>
      <c r="G147" s="36">
        <f>SUM(C147:F147)</f>
        <v>-4491</v>
      </c>
      <c r="H147" s="35">
        <v>-1271</v>
      </c>
      <c r="I147" s="35">
        <v>-1444</v>
      </c>
      <c r="J147" s="35">
        <v>-1755</v>
      </c>
      <c r="K147" s="35">
        <f>-6733-J147-I147-H147</f>
        <v>-2263</v>
      </c>
      <c r="L147" s="36">
        <f>SUM(H147:K147)</f>
        <v>-6733</v>
      </c>
      <c r="M147" s="35">
        <v>-2812</v>
      </c>
      <c r="N147" s="35">
        <f>-6272-M147</f>
        <v>-3460</v>
      </c>
      <c r="O147" s="35">
        <f>-9614-N147-M147</f>
        <v>-3342</v>
      </c>
      <c r="P147" s="35">
        <f>-13915-O147-N147-M147</f>
        <v>-4301</v>
      </c>
      <c r="Q147" s="36">
        <f>SUM(M147:P147)</f>
        <v>-13915</v>
      </c>
      <c r="R147" s="3"/>
      <c r="S147" s="3"/>
      <c r="T147" s="3"/>
      <c r="U147" s="3"/>
      <c r="V147" s="3"/>
    </row>
    <row r="148" spans="1:22" outlineLevel="1" x14ac:dyDescent="0.3">
      <c r="A148" s="92" t="s">
        <v>176</v>
      </c>
      <c r="B148" s="93"/>
      <c r="C148" s="35">
        <v>-576</v>
      </c>
      <c r="D148" s="35">
        <v>-3998</v>
      </c>
      <c r="E148" s="35">
        <v>-1969</v>
      </c>
      <c r="F148" s="35">
        <v>-644</v>
      </c>
      <c r="G148" s="36">
        <f>SUM(C148:F148)</f>
        <v>-7187</v>
      </c>
      <c r="H148" s="35">
        <f>-6992+1762+599</f>
        <v>-4631</v>
      </c>
      <c r="I148" s="35">
        <f>-14137+3998+1498-H148</f>
        <v>-4010</v>
      </c>
      <c r="J148" s="35">
        <v>-1892</v>
      </c>
      <c r="K148" s="35">
        <f>-25682+9444+2988-J148-I148-H148</f>
        <v>-2717</v>
      </c>
      <c r="L148" s="36">
        <f>SUM(H148:K148)</f>
        <v>-13250</v>
      </c>
      <c r="M148" s="35">
        <f>-4022+4330+1267</f>
        <v>1575</v>
      </c>
      <c r="N148" s="35">
        <f>-8283+8612+2338-M148</f>
        <v>1092</v>
      </c>
      <c r="O148" s="35">
        <f>-12658+11104+3391-N148-M148</f>
        <v>-830</v>
      </c>
      <c r="P148" s="35">
        <f>-14656+12358+4772-O148-N148-M148</f>
        <v>637</v>
      </c>
      <c r="Q148" s="36">
        <f>SUM(M148:P148)</f>
        <v>2474</v>
      </c>
      <c r="R148" s="3"/>
      <c r="S148" s="3"/>
      <c r="T148" s="3"/>
      <c r="U148" s="3"/>
      <c r="V148" s="3"/>
    </row>
    <row r="149" spans="1:22" outlineLevel="1" x14ac:dyDescent="0.3">
      <c r="A149" s="203" t="s">
        <v>177</v>
      </c>
      <c r="B149" s="204"/>
      <c r="C149" s="35">
        <v>-1</v>
      </c>
      <c r="D149" s="35">
        <v>-19</v>
      </c>
      <c r="E149" s="35">
        <v>-61</v>
      </c>
      <c r="F149" s="35">
        <v>-41</v>
      </c>
      <c r="G149" s="36">
        <f>SUM(C149:F149)</f>
        <v>-122</v>
      </c>
      <c r="H149" s="35">
        <v>0</v>
      </c>
      <c r="I149" s="35">
        <v>-8</v>
      </c>
      <c r="J149" s="35">
        <v>-98</v>
      </c>
      <c r="K149" s="35">
        <f>-122-J149-I149-H149</f>
        <v>-16</v>
      </c>
      <c r="L149" s="36">
        <f>SUM(H149:K149)</f>
        <v>-122</v>
      </c>
      <c r="M149" s="35">
        <v>-49</v>
      </c>
      <c r="N149" s="35">
        <f>-65-M149</f>
        <v>-16</v>
      </c>
      <c r="O149" s="35">
        <f>-137-N149-M149</f>
        <v>-72</v>
      </c>
      <c r="P149" s="35">
        <f>-137-O149-N149-M149</f>
        <v>0</v>
      </c>
      <c r="Q149" s="36">
        <f>SUM(M149:P149)</f>
        <v>-137</v>
      </c>
      <c r="R149" s="3"/>
      <c r="S149" s="3"/>
      <c r="T149" s="3"/>
      <c r="U149" s="3"/>
      <c r="V149" s="3"/>
    </row>
    <row r="150" spans="1:22" ht="16.2" outlineLevel="1" x14ac:dyDescent="0.45">
      <c r="A150" s="203" t="s">
        <v>178</v>
      </c>
      <c r="B150" s="204"/>
      <c r="C150" s="40">
        <v>33</v>
      </c>
      <c r="D150" s="40">
        <v>41</v>
      </c>
      <c r="E150" s="40">
        <v>8</v>
      </c>
      <c r="F150" s="40">
        <f>8-E150-D150-C150</f>
        <v>-74</v>
      </c>
      <c r="G150" s="41">
        <f>SUM(C150:F150)</f>
        <v>8</v>
      </c>
      <c r="H150" s="40">
        <v>-18</v>
      </c>
      <c r="I150" s="40">
        <f>-22-H150</f>
        <v>-4</v>
      </c>
      <c r="J150" s="40">
        <v>16</v>
      </c>
      <c r="K150" s="40">
        <f>-13-J150-I150-H150</f>
        <v>-7</v>
      </c>
      <c r="L150" s="41">
        <f>SUM(H150:K150)</f>
        <v>-13</v>
      </c>
      <c r="M150" s="40">
        <v>-1</v>
      </c>
      <c r="N150" s="40">
        <f>-1-M150</f>
        <v>0</v>
      </c>
      <c r="O150" s="40">
        <f>-4-N150-M150</f>
        <v>-3</v>
      </c>
      <c r="P150" s="40">
        <f>-25-O150-N150-M150</f>
        <v>-21</v>
      </c>
      <c r="Q150" s="41">
        <f>SUM(M150:P150)</f>
        <v>-25</v>
      </c>
      <c r="R150" s="3"/>
      <c r="S150" s="3"/>
      <c r="T150" s="3"/>
      <c r="U150" s="3"/>
      <c r="V150" s="3"/>
    </row>
    <row r="151" spans="1:22" outlineLevel="1" x14ac:dyDescent="0.3">
      <c r="A151" s="223" t="s">
        <v>16</v>
      </c>
      <c r="B151" s="224"/>
      <c r="C151" s="46">
        <f>SUM(C146:C150)</f>
        <v>-1676</v>
      </c>
      <c r="D151" s="46">
        <f>SUM(D146:D150)</f>
        <v>-4971</v>
      </c>
      <c r="E151" s="46">
        <f>SUM(E146:E150)</f>
        <v>-3117</v>
      </c>
      <c r="F151" s="46">
        <f>SUM(F146:F150)</f>
        <v>-2028</v>
      </c>
      <c r="G151" s="47">
        <f>SUM(G147:G150)</f>
        <v>-11792</v>
      </c>
      <c r="H151" s="46">
        <f>SUM(H146:H150)</f>
        <v>-5920</v>
      </c>
      <c r="I151" s="46">
        <f>SUM(I146:I150)</f>
        <v>-5466</v>
      </c>
      <c r="J151" s="46">
        <f>SUM(J146:J150)</f>
        <v>-3729</v>
      </c>
      <c r="K151" s="46">
        <f>SUM(K146:K150)</f>
        <v>-5003</v>
      </c>
      <c r="L151" s="47">
        <f>SUM(L147:L150)</f>
        <v>-20118</v>
      </c>
      <c r="M151" s="46">
        <f>SUM(M146:M150)</f>
        <v>-1287</v>
      </c>
      <c r="N151" s="46">
        <f>SUM(N146:N150)</f>
        <v>-2384</v>
      </c>
      <c r="O151" s="46">
        <f>SUM(O146:O150)</f>
        <v>-4247</v>
      </c>
      <c r="P151" s="46">
        <f>SUM(P146:P150)</f>
        <v>-3685</v>
      </c>
      <c r="Q151" s="47">
        <f>SUM(Q147:Q150)</f>
        <v>-11603</v>
      </c>
      <c r="R151" s="3"/>
      <c r="S151" s="3"/>
      <c r="T151" s="3"/>
      <c r="U151" s="3"/>
      <c r="V151" s="3"/>
    </row>
    <row r="152" spans="1:22" outlineLevel="1" x14ac:dyDescent="0.3">
      <c r="A152" s="209" t="s">
        <v>17</v>
      </c>
      <c r="B152" s="210"/>
      <c r="C152" s="110"/>
      <c r="D152" s="110"/>
      <c r="E152" s="110"/>
      <c r="F152" s="110"/>
      <c r="G152" s="111"/>
      <c r="H152" s="110"/>
      <c r="I152" s="110"/>
      <c r="J152" s="110"/>
      <c r="K152" s="110"/>
      <c r="L152" s="111"/>
      <c r="M152" s="110"/>
      <c r="N152" s="110"/>
      <c r="O152" s="110"/>
      <c r="P152" s="110"/>
      <c r="Q152" s="111"/>
      <c r="R152" s="3"/>
      <c r="S152" s="3"/>
      <c r="T152" s="3"/>
      <c r="U152" s="3"/>
      <c r="V152" s="3"/>
    </row>
    <row r="153" spans="1:22" outlineLevel="1" x14ac:dyDescent="0.3">
      <c r="A153" s="61" t="s">
        <v>179</v>
      </c>
      <c r="B153" s="97"/>
      <c r="C153" s="112">
        <v>0</v>
      </c>
      <c r="D153" s="112">
        <v>0</v>
      </c>
      <c r="E153" s="112">
        <v>0</v>
      </c>
      <c r="F153" s="112">
        <v>-6</v>
      </c>
      <c r="G153" s="113">
        <f t="shared" ref="G153:G157" si="167">SUM(C153:F153)</f>
        <v>-6</v>
      </c>
      <c r="H153" s="112">
        <v>-771</v>
      </c>
      <c r="I153" s="112">
        <v>-724</v>
      </c>
      <c r="J153" s="112">
        <v>-866</v>
      </c>
      <c r="K153" s="112">
        <f>-3246-J153-I153-H153</f>
        <v>-885</v>
      </c>
      <c r="L153" s="113">
        <f t="shared" ref="L153:L155" si="168">SUM(H153:K153)</f>
        <v>-3246</v>
      </c>
      <c r="M153" s="112">
        <v>-832</v>
      </c>
      <c r="N153" s="112">
        <f>-1758-M153</f>
        <v>-926</v>
      </c>
      <c r="O153" s="112">
        <f>-2663-N153-M153</f>
        <v>-905</v>
      </c>
      <c r="P153" s="112">
        <f>-3208-O153-N153-M153</f>
        <v>-545</v>
      </c>
      <c r="Q153" s="113">
        <f t="shared" ref="Q153:Q155" si="169">SUM(M153:P153)</f>
        <v>-3208</v>
      </c>
      <c r="R153" s="3"/>
      <c r="S153" s="3"/>
      <c r="T153" s="3"/>
      <c r="U153" s="3"/>
      <c r="V153" s="3"/>
    </row>
    <row r="154" spans="1:22" outlineLevel="1" x14ac:dyDescent="0.3">
      <c r="A154" s="61" t="s">
        <v>180</v>
      </c>
      <c r="B154" s="97"/>
      <c r="C154" s="112">
        <v>0</v>
      </c>
      <c r="D154" s="112">
        <v>0</v>
      </c>
      <c r="E154" s="112">
        <v>0</v>
      </c>
      <c r="F154" s="112">
        <v>0</v>
      </c>
      <c r="G154" s="113">
        <f t="shared" si="167"/>
        <v>0</v>
      </c>
      <c r="H154" s="112">
        <v>0</v>
      </c>
      <c r="I154" s="112">
        <v>0</v>
      </c>
      <c r="J154" s="112">
        <v>0</v>
      </c>
      <c r="K154" s="112">
        <f t="shared" ref="K154:K156" si="170">0-J154-I154-H154</f>
        <v>0</v>
      </c>
      <c r="L154" s="113">
        <f t="shared" si="168"/>
        <v>0</v>
      </c>
      <c r="M154" s="112">
        <v>0</v>
      </c>
      <c r="N154" s="112">
        <f t="shared" ref="N154:N156" si="171">0-M154</f>
        <v>0</v>
      </c>
      <c r="O154" s="112">
        <v>0</v>
      </c>
      <c r="P154" s="112">
        <f t="shared" ref="P154:P156" si="172">0-O154-N154-M154</f>
        <v>0</v>
      </c>
      <c r="Q154" s="113">
        <f t="shared" si="169"/>
        <v>0</v>
      </c>
      <c r="R154" s="3"/>
      <c r="S154" s="3"/>
      <c r="T154" s="3"/>
      <c r="U154" s="3"/>
      <c r="V154" s="3"/>
    </row>
    <row r="155" spans="1:22" outlineLevel="1" x14ac:dyDescent="0.3">
      <c r="A155" s="61" t="s">
        <v>181</v>
      </c>
      <c r="B155" s="97"/>
      <c r="C155" s="112">
        <v>-312</v>
      </c>
      <c r="D155" s="112">
        <v>0</v>
      </c>
      <c r="E155" s="112">
        <v>0</v>
      </c>
      <c r="F155" s="112">
        <v>0</v>
      </c>
      <c r="G155" s="113">
        <f t="shared" si="167"/>
        <v>-312</v>
      </c>
      <c r="H155" s="112">
        <v>0</v>
      </c>
      <c r="I155" s="112">
        <v>0</v>
      </c>
      <c r="J155" s="112">
        <v>0</v>
      </c>
      <c r="K155" s="112">
        <f t="shared" si="170"/>
        <v>0</v>
      </c>
      <c r="L155" s="113">
        <f t="shared" si="168"/>
        <v>0</v>
      </c>
      <c r="M155" s="112">
        <v>0</v>
      </c>
      <c r="N155" s="112">
        <f t="shared" si="171"/>
        <v>0</v>
      </c>
      <c r="O155" s="112">
        <v>0</v>
      </c>
      <c r="P155" s="112">
        <f t="shared" si="172"/>
        <v>0</v>
      </c>
      <c r="Q155" s="113">
        <f t="shared" si="169"/>
        <v>0</v>
      </c>
      <c r="R155" s="3"/>
      <c r="S155" s="3"/>
      <c r="T155" s="3"/>
      <c r="U155" s="3"/>
      <c r="V155" s="3"/>
    </row>
    <row r="156" spans="1:22" outlineLevel="1" x14ac:dyDescent="0.3">
      <c r="A156" s="61" t="s">
        <v>167</v>
      </c>
      <c r="B156" s="54"/>
      <c r="C156" s="112">
        <v>494</v>
      </c>
      <c r="D156" s="112">
        <v>467</v>
      </c>
      <c r="E156" s="112">
        <v>459</v>
      </c>
      <c r="F156" s="112">
        <f>0-E156-D156-C156</f>
        <v>-1420</v>
      </c>
      <c r="G156" s="113">
        <f t="shared" si="167"/>
        <v>0</v>
      </c>
      <c r="H156" s="112">
        <v>0</v>
      </c>
      <c r="I156" s="112">
        <v>0</v>
      </c>
      <c r="J156" s="112">
        <v>0</v>
      </c>
      <c r="K156" s="112">
        <f t="shared" si="170"/>
        <v>0</v>
      </c>
      <c r="L156" s="113">
        <f>SUM(H156:K156)</f>
        <v>0</v>
      </c>
      <c r="M156" s="112">
        <v>0</v>
      </c>
      <c r="N156" s="112">
        <f t="shared" si="171"/>
        <v>0</v>
      </c>
      <c r="O156" s="112">
        <v>0</v>
      </c>
      <c r="P156" s="112">
        <f t="shared" si="172"/>
        <v>0</v>
      </c>
      <c r="Q156" s="113">
        <f>SUM(M156:P156)</f>
        <v>0</v>
      </c>
      <c r="R156" s="3"/>
      <c r="S156" s="3"/>
      <c r="T156" s="3"/>
      <c r="U156" s="3"/>
      <c r="V156" s="3"/>
    </row>
    <row r="157" spans="1:22" outlineLevel="1" x14ac:dyDescent="0.3">
      <c r="A157" s="61" t="s">
        <v>182</v>
      </c>
      <c r="B157" s="181"/>
      <c r="C157" s="112">
        <v>0</v>
      </c>
      <c r="D157" s="112">
        <v>0</v>
      </c>
      <c r="E157" s="112"/>
      <c r="F157" s="112">
        <v>0</v>
      </c>
      <c r="G157" s="113">
        <f t="shared" si="167"/>
        <v>0</v>
      </c>
      <c r="H157" s="112">
        <v>-228</v>
      </c>
      <c r="I157" s="112">
        <v>-150</v>
      </c>
      <c r="J157" s="112">
        <v>-640</v>
      </c>
      <c r="K157" s="112">
        <f>-1976-J157-I157-H157</f>
        <v>-958</v>
      </c>
      <c r="L157" s="113">
        <f t="shared" ref="L157:L158" si="173">SUM(H157:K157)</f>
        <v>-1976</v>
      </c>
      <c r="M157" s="112">
        <v>-1774</v>
      </c>
      <c r="N157" s="112">
        <f>-5123-M157</f>
        <v>-3349</v>
      </c>
      <c r="O157" s="112">
        <f>-9379-N157-M157</f>
        <v>-4256</v>
      </c>
      <c r="P157" s="112">
        <f>-12879-O157-N157-M157</f>
        <v>-3500</v>
      </c>
      <c r="Q157" s="113">
        <f t="shared" ref="Q157:Q158" si="174">SUM(M157:P157)</f>
        <v>-12879</v>
      </c>
      <c r="R157" s="3"/>
      <c r="S157" s="3"/>
      <c r="T157" s="3"/>
      <c r="U157" s="3"/>
      <c r="V157" s="3"/>
    </row>
    <row r="158" spans="1:22" ht="16.2" outlineLevel="1" x14ac:dyDescent="0.45">
      <c r="A158" s="207" t="s">
        <v>183</v>
      </c>
      <c r="B158" s="208"/>
      <c r="C158" s="114">
        <v>2</v>
      </c>
      <c r="D158" s="114">
        <v>4</v>
      </c>
      <c r="E158" s="114">
        <v>-8</v>
      </c>
      <c r="F158" s="114">
        <f>8-E158-D158-C158</f>
        <v>10</v>
      </c>
      <c r="G158" s="115">
        <f t="shared" ref="G158" si="175">SUM(C158:F158)</f>
        <v>8</v>
      </c>
      <c r="H158" s="114">
        <v>7</v>
      </c>
      <c r="I158" s="114">
        <v>5</v>
      </c>
      <c r="J158" s="114">
        <v>-26</v>
      </c>
      <c r="K158" s="114">
        <f>-13-J158-I158-H158</f>
        <v>1</v>
      </c>
      <c r="L158" s="115">
        <f t="shared" si="173"/>
        <v>-13</v>
      </c>
      <c r="M158" s="114">
        <v>3</v>
      </c>
      <c r="N158" s="114">
        <f>7-M158</f>
        <v>4</v>
      </c>
      <c r="O158" s="114">
        <f>11-N158-M158</f>
        <v>4</v>
      </c>
      <c r="P158" s="114">
        <f>500+15-O158-N158-M158</f>
        <v>504</v>
      </c>
      <c r="Q158" s="115">
        <f t="shared" si="174"/>
        <v>515</v>
      </c>
      <c r="R158" s="3"/>
      <c r="S158" s="3"/>
      <c r="T158" s="3"/>
      <c r="U158" s="3"/>
      <c r="V158" s="3"/>
    </row>
    <row r="159" spans="1:22" outlineLevel="1" x14ac:dyDescent="0.3">
      <c r="A159" s="205" t="s">
        <v>18</v>
      </c>
      <c r="B159" s="206"/>
      <c r="C159" s="107">
        <f>SUM(C153:C158)</f>
        <v>184</v>
      </c>
      <c r="D159" s="107">
        <f t="shared" ref="D159:Q159" si="176">SUM(D153:D158)</f>
        <v>471</v>
      </c>
      <c r="E159" s="107">
        <f t="shared" si="176"/>
        <v>451</v>
      </c>
      <c r="F159" s="107">
        <f t="shared" si="176"/>
        <v>-1416</v>
      </c>
      <c r="G159" s="108">
        <f t="shared" si="176"/>
        <v>-310</v>
      </c>
      <c r="H159" s="107">
        <f t="shared" si="176"/>
        <v>-992</v>
      </c>
      <c r="I159" s="107">
        <f t="shared" si="176"/>
        <v>-869</v>
      </c>
      <c r="J159" s="107">
        <f t="shared" si="176"/>
        <v>-1532</v>
      </c>
      <c r="K159" s="107">
        <f t="shared" si="176"/>
        <v>-1842</v>
      </c>
      <c r="L159" s="108">
        <f t="shared" si="176"/>
        <v>-5235</v>
      </c>
      <c r="M159" s="107">
        <f t="shared" si="176"/>
        <v>-2603</v>
      </c>
      <c r="N159" s="107">
        <f t="shared" si="176"/>
        <v>-4271</v>
      </c>
      <c r="O159" s="107">
        <f t="shared" si="176"/>
        <v>-5157</v>
      </c>
      <c r="P159" s="107">
        <f t="shared" si="176"/>
        <v>-3541</v>
      </c>
      <c r="Q159" s="108">
        <f t="shared" si="176"/>
        <v>-15572</v>
      </c>
      <c r="R159" s="3"/>
      <c r="S159" s="3"/>
      <c r="T159" s="3"/>
      <c r="U159" s="3"/>
      <c r="V159" s="3"/>
    </row>
    <row r="160" spans="1:22" outlineLevel="1" x14ac:dyDescent="0.3">
      <c r="A160" s="98" t="s">
        <v>185</v>
      </c>
      <c r="B160" s="99"/>
      <c r="C160" s="86">
        <v>58</v>
      </c>
      <c r="D160" s="86">
        <v>-46</v>
      </c>
      <c r="E160" s="86">
        <v>19</v>
      </c>
      <c r="F160" s="86">
        <v>-94</v>
      </c>
      <c r="G160" s="109">
        <f>SUM(C160:F160)</f>
        <v>-63</v>
      </c>
      <c r="H160" s="86">
        <v>28</v>
      </c>
      <c r="I160" s="86">
        <f>122-H160</f>
        <v>94</v>
      </c>
      <c r="J160" s="86">
        <v>70</v>
      </c>
      <c r="K160" s="86">
        <f>232-J160-I160-H160</f>
        <v>40</v>
      </c>
      <c r="L160" s="109">
        <f>SUM(H160:K160)</f>
        <v>232</v>
      </c>
      <c r="M160" s="86">
        <v>36</v>
      </c>
      <c r="N160" s="86">
        <f>-149-M160</f>
        <v>-185</v>
      </c>
      <c r="O160" s="86">
        <f>-168-N160-M160</f>
        <v>-19</v>
      </c>
      <c r="P160" s="86">
        <f>-179-O160-N160-M160</f>
        <v>-11</v>
      </c>
      <c r="Q160" s="109">
        <f>SUM(M160:P160)</f>
        <v>-179</v>
      </c>
      <c r="R160" s="3"/>
      <c r="S160" s="3"/>
      <c r="T160" s="3"/>
      <c r="U160" s="3"/>
      <c r="V160" s="3"/>
    </row>
    <row r="161" spans="1:22" ht="16.2" outlineLevel="1" x14ac:dyDescent="0.45">
      <c r="A161" s="203" t="s">
        <v>19</v>
      </c>
      <c r="B161" s="204"/>
      <c r="C161" s="40">
        <f t="shared" ref="C161:Q161" si="177">C159+C151+C145+C160</f>
        <v>1549</v>
      </c>
      <c r="D161" s="40">
        <f t="shared" si="177"/>
        <v>-1348</v>
      </c>
      <c r="E161" s="40">
        <f t="shared" si="177"/>
        <v>930</v>
      </c>
      <c r="F161" s="40">
        <f t="shared" si="177"/>
        <v>2812</v>
      </c>
      <c r="G161" s="41">
        <f t="shared" si="177"/>
        <v>3943</v>
      </c>
      <c r="H161" s="40">
        <f t="shared" si="177"/>
        <v>-1826</v>
      </c>
      <c r="I161" s="40">
        <f t="shared" si="177"/>
        <v>-882</v>
      </c>
      <c r="J161" s="40">
        <f t="shared" si="177"/>
        <v>937</v>
      </c>
      <c r="K161" s="40">
        <f t="shared" si="177"/>
        <v>866</v>
      </c>
      <c r="L161" s="41">
        <f t="shared" si="177"/>
        <v>-905</v>
      </c>
      <c r="M161" s="40">
        <f t="shared" si="177"/>
        <v>4006</v>
      </c>
      <c r="N161" s="40">
        <f t="shared" si="177"/>
        <v>-541</v>
      </c>
      <c r="O161" s="40">
        <f t="shared" si="177"/>
        <v>-1925</v>
      </c>
      <c r="P161" s="40">
        <f t="shared" si="177"/>
        <v>380</v>
      </c>
      <c r="Q161" s="41">
        <f t="shared" si="177"/>
        <v>1920</v>
      </c>
      <c r="R161" s="3"/>
      <c r="S161" s="3"/>
      <c r="T161" s="3"/>
      <c r="U161" s="3"/>
      <c r="V161" s="3"/>
    </row>
    <row r="162" spans="1:22" ht="16.2" outlineLevel="1" x14ac:dyDescent="0.45">
      <c r="A162" s="203" t="s">
        <v>20</v>
      </c>
      <c r="B162" s="204"/>
      <c r="C162" s="40">
        <v>4907</v>
      </c>
      <c r="D162" s="40">
        <f>C165</f>
        <v>6456</v>
      </c>
      <c r="E162" s="40">
        <f>D165</f>
        <v>5108</v>
      </c>
      <c r="F162" s="40">
        <f>6038+53</f>
        <v>6091</v>
      </c>
      <c r="G162" s="41">
        <v>5166</v>
      </c>
      <c r="H162" s="40">
        <f>G163+206</f>
        <v>9109</v>
      </c>
      <c r="I162" s="40">
        <f>+H163</f>
        <v>7283</v>
      </c>
      <c r="J162" s="40">
        <f>+I163</f>
        <v>6401</v>
      </c>
      <c r="K162" s="40">
        <f>+J163</f>
        <v>7338</v>
      </c>
      <c r="L162" s="41">
        <f>G165</f>
        <v>8903</v>
      </c>
      <c r="M162" s="40">
        <f>L163</f>
        <v>8204</v>
      </c>
      <c r="N162" s="40">
        <f>+M163</f>
        <v>12210</v>
      </c>
      <c r="O162" s="40">
        <f>+N163</f>
        <v>11669</v>
      </c>
      <c r="P162" s="40">
        <f>+O163</f>
        <v>9744</v>
      </c>
      <c r="Q162" s="41">
        <f>L165</f>
        <v>8079</v>
      </c>
      <c r="R162" s="3"/>
      <c r="S162" s="3"/>
      <c r="T162" s="3"/>
      <c r="U162" s="3"/>
      <c r="V162" s="3"/>
    </row>
    <row r="163" spans="1:22" s="19" customFormat="1" ht="16.2" outlineLevel="1" x14ac:dyDescent="0.45">
      <c r="A163" s="100" t="s">
        <v>21</v>
      </c>
      <c r="B163" s="101"/>
      <c r="C163" s="43">
        <f>C162+C161</f>
        <v>6456</v>
      </c>
      <c r="D163" s="43">
        <f t="shared" ref="D163:F163" si="178">D162+D161</f>
        <v>5108</v>
      </c>
      <c r="E163" s="43">
        <f t="shared" si="178"/>
        <v>6038</v>
      </c>
      <c r="F163" s="43">
        <f t="shared" si="178"/>
        <v>8903</v>
      </c>
      <c r="G163" s="44">
        <f>+F163</f>
        <v>8903</v>
      </c>
      <c r="H163" s="43">
        <f>H162+H161</f>
        <v>7283</v>
      </c>
      <c r="I163" s="43">
        <f t="shared" ref="I163" si="179">I162+I161</f>
        <v>6401</v>
      </c>
      <c r="J163" s="43">
        <f t="shared" ref="J163" si="180">J162+J161</f>
        <v>7338</v>
      </c>
      <c r="K163" s="43">
        <f t="shared" ref="K163" si="181">K162+K161</f>
        <v>8204</v>
      </c>
      <c r="L163" s="44">
        <f>+K163</f>
        <v>8204</v>
      </c>
      <c r="M163" s="43">
        <f>M162+M161</f>
        <v>12210</v>
      </c>
      <c r="N163" s="43">
        <f t="shared" ref="N163" si="182">N162+N161</f>
        <v>11669</v>
      </c>
      <c r="O163" s="43">
        <f t="shared" ref="O163" si="183">O162+O161</f>
        <v>9744</v>
      </c>
      <c r="P163" s="43">
        <f t="shared" ref="P163" si="184">P162+P161</f>
        <v>10124</v>
      </c>
      <c r="Q163" s="44">
        <f>+P163</f>
        <v>10124</v>
      </c>
    </row>
    <row r="164" spans="1:22" ht="16.2" outlineLevel="1" x14ac:dyDescent="0.45">
      <c r="A164" s="92" t="s">
        <v>186</v>
      </c>
      <c r="B164" s="93"/>
      <c r="C164" s="40"/>
      <c r="D164" s="40"/>
      <c r="E164" s="40"/>
      <c r="F164" s="40"/>
      <c r="G164" s="41"/>
      <c r="H164" s="40">
        <f>85+94</f>
        <v>179</v>
      </c>
      <c r="I164" s="40">
        <f>59+91-1</f>
        <v>149</v>
      </c>
      <c r="J164" s="40">
        <f>41+97-1</f>
        <v>137</v>
      </c>
      <c r="K164" s="40">
        <f>18+107</f>
        <v>125</v>
      </c>
      <c r="L164" s="41">
        <f>+K164</f>
        <v>125</v>
      </c>
      <c r="M164" s="40">
        <v>128</v>
      </c>
      <c r="N164" s="40">
        <f>11+105+1</f>
        <v>117</v>
      </c>
      <c r="O164" s="40">
        <v>107</v>
      </c>
      <c r="P164" s="40">
        <f>10+95</f>
        <v>105</v>
      </c>
      <c r="Q164" s="41">
        <f>+P164</f>
        <v>105</v>
      </c>
      <c r="R164" s="3"/>
      <c r="S164" s="3"/>
      <c r="T164" s="3"/>
      <c r="U164" s="3"/>
      <c r="V164" s="3"/>
    </row>
    <row r="165" spans="1:22" outlineLevel="1" x14ac:dyDescent="0.3">
      <c r="A165" s="240" t="s">
        <v>184</v>
      </c>
      <c r="B165" s="241"/>
      <c r="C165" s="46">
        <f t="shared" ref="C165:O165" si="185">C163-C164</f>
        <v>6456</v>
      </c>
      <c r="D165" s="46">
        <f t="shared" si="185"/>
        <v>5108</v>
      </c>
      <c r="E165" s="46">
        <f t="shared" si="185"/>
        <v>6038</v>
      </c>
      <c r="F165" s="46">
        <f t="shared" si="185"/>
        <v>8903</v>
      </c>
      <c r="G165" s="47">
        <f t="shared" si="185"/>
        <v>8903</v>
      </c>
      <c r="H165" s="46">
        <f>H163-H164</f>
        <v>7104</v>
      </c>
      <c r="I165" s="46">
        <f t="shared" si="185"/>
        <v>6252</v>
      </c>
      <c r="J165" s="46">
        <f t="shared" si="185"/>
        <v>7201</v>
      </c>
      <c r="K165" s="46">
        <f t="shared" si="185"/>
        <v>8079</v>
      </c>
      <c r="L165" s="47">
        <f t="shared" si="185"/>
        <v>8079</v>
      </c>
      <c r="M165" s="46">
        <f t="shared" si="185"/>
        <v>12082</v>
      </c>
      <c r="N165" s="46">
        <f t="shared" si="185"/>
        <v>11552</v>
      </c>
      <c r="O165" s="46">
        <f t="shared" si="185"/>
        <v>9637</v>
      </c>
      <c r="P165" s="46">
        <f>P163-P164</f>
        <v>10019</v>
      </c>
      <c r="Q165" s="47">
        <f t="shared" ref="Q165" si="186">Q163-Q164</f>
        <v>10019</v>
      </c>
      <c r="R165" s="3"/>
      <c r="S165" s="3"/>
      <c r="T165" s="3"/>
      <c r="U165" s="3"/>
      <c r="V165" s="3"/>
    </row>
    <row r="166" spans="1:22" s="48" customFormat="1" outlineLevel="1" x14ac:dyDescent="0.3">
      <c r="A166" s="236" t="s">
        <v>65</v>
      </c>
      <c r="B166" s="237"/>
      <c r="C166" s="110"/>
      <c r="D166" s="110"/>
      <c r="E166" s="110"/>
      <c r="F166" s="110"/>
      <c r="G166" s="186">
        <f>G145-(-G147)</f>
        <v>11617</v>
      </c>
      <c r="H166" s="110">
        <f t="shared" ref="H166:P166" si="187">H145-(-H147)</f>
        <v>3787</v>
      </c>
      <c r="I166" s="110">
        <f t="shared" si="187"/>
        <v>3915</v>
      </c>
      <c r="J166" s="110">
        <f t="shared" si="187"/>
        <v>4373</v>
      </c>
      <c r="K166" s="110">
        <f t="shared" si="187"/>
        <v>5408</v>
      </c>
      <c r="L166" s="186">
        <f>L145-(-L147)</f>
        <v>17483</v>
      </c>
      <c r="M166" s="110">
        <f t="shared" si="187"/>
        <v>5048</v>
      </c>
      <c r="N166" s="110">
        <f t="shared" si="187"/>
        <v>2839</v>
      </c>
      <c r="O166" s="110">
        <f t="shared" si="187"/>
        <v>4156</v>
      </c>
      <c r="P166" s="110">
        <f t="shared" si="187"/>
        <v>3316</v>
      </c>
      <c r="Q166" s="186">
        <f>Q145-(-Q147)</f>
        <v>15359</v>
      </c>
      <c r="R166" s="133"/>
    </row>
    <row r="167" spans="1:22" s="48" customFormat="1" outlineLevel="1" x14ac:dyDescent="0.3">
      <c r="A167" s="61" t="s">
        <v>40</v>
      </c>
      <c r="B167" s="54"/>
      <c r="C167" s="112"/>
      <c r="D167" s="112"/>
      <c r="E167" s="112"/>
      <c r="F167" s="112"/>
      <c r="G167" s="113">
        <v>0</v>
      </c>
      <c r="H167" s="112"/>
      <c r="I167" s="112"/>
      <c r="J167" s="112"/>
      <c r="K167" s="112"/>
      <c r="L167" s="113">
        <v>0</v>
      </c>
      <c r="M167" s="112"/>
      <c r="N167" s="112"/>
      <c r="O167" s="112"/>
      <c r="P167" s="112"/>
      <c r="Q167" s="113">
        <v>0</v>
      </c>
    </row>
    <row r="168" spans="1:22" s="48" customFormat="1" outlineLevel="1" x14ac:dyDescent="0.3">
      <c r="A168" s="234" t="s">
        <v>29</v>
      </c>
      <c r="B168" s="235"/>
      <c r="C168" s="116"/>
      <c r="D168" s="116"/>
      <c r="E168" s="116"/>
      <c r="F168" s="116"/>
      <c r="G168" s="182"/>
      <c r="H168" s="116"/>
      <c r="I168" s="116"/>
      <c r="J168" s="116"/>
      <c r="K168" s="116"/>
      <c r="L168" s="117"/>
      <c r="M168" s="116"/>
      <c r="N168" s="116"/>
      <c r="O168" s="116"/>
      <c r="P168" s="116"/>
      <c r="Q168" s="117"/>
    </row>
    <row r="169" spans="1:22" outlineLevel="1" x14ac:dyDescent="0.3">
      <c r="A169" s="79" t="s">
        <v>48</v>
      </c>
      <c r="B169" s="99"/>
      <c r="C169" s="86"/>
      <c r="D169" s="21"/>
      <c r="E169" s="21"/>
      <c r="F169" s="21"/>
      <c r="G169" s="22"/>
      <c r="H169" s="21"/>
      <c r="I169" s="21"/>
      <c r="J169" s="21"/>
      <c r="K169" s="21"/>
      <c r="L169" s="22"/>
      <c r="M169" s="21"/>
      <c r="N169" s="21"/>
      <c r="O169" s="21"/>
      <c r="P169" s="21"/>
      <c r="Q169" s="22"/>
      <c r="R169" s="3"/>
      <c r="S169" s="3"/>
      <c r="T169" s="3"/>
      <c r="U169" s="3"/>
      <c r="V169" s="3"/>
    </row>
    <row r="170" spans="1:22" outlineLevel="1" x14ac:dyDescent="0.3">
      <c r="A170" s="92" t="s">
        <v>67</v>
      </c>
      <c r="B170" s="93"/>
      <c r="C170" s="35">
        <f t="shared" ref="C170:Q170" si="188">+C89</f>
        <v>6456</v>
      </c>
      <c r="D170" s="35">
        <f t="shared" si="188"/>
        <v>5108</v>
      </c>
      <c r="E170" s="35">
        <f t="shared" si="188"/>
        <v>6038</v>
      </c>
      <c r="F170" s="35">
        <f t="shared" si="188"/>
        <v>8903</v>
      </c>
      <c r="G170" s="36">
        <f t="shared" si="188"/>
        <v>8903</v>
      </c>
      <c r="H170" s="35">
        <f t="shared" si="188"/>
        <v>7104</v>
      </c>
      <c r="I170" s="35">
        <f t="shared" si="188"/>
        <v>6252</v>
      </c>
      <c r="J170" s="35">
        <f t="shared" si="188"/>
        <v>7201</v>
      </c>
      <c r="K170" s="35">
        <f t="shared" si="188"/>
        <v>8079</v>
      </c>
      <c r="L170" s="36">
        <f t="shared" si="188"/>
        <v>8079</v>
      </c>
      <c r="M170" s="35">
        <f t="shared" si="188"/>
        <v>12082</v>
      </c>
      <c r="N170" s="35">
        <f t="shared" si="188"/>
        <v>11552</v>
      </c>
      <c r="O170" s="35">
        <f t="shared" si="188"/>
        <v>9637</v>
      </c>
      <c r="P170" s="35">
        <f t="shared" si="188"/>
        <v>10019</v>
      </c>
      <c r="Q170" s="36">
        <f t="shared" si="188"/>
        <v>10019</v>
      </c>
      <c r="R170" s="3"/>
      <c r="S170" s="3"/>
      <c r="T170" s="3"/>
      <c r="U170" s="3"/>
      <c r="V170" s="3"/>
    </row>
    <row r="171" spans="1:22" outlineLevel="1" x14ac:dyDescent="0.3">
      <c r="A171" s="92" t="s">
        <v>66</v>
      </c>
      <c r="B171" s="93"/>
      <c r="C171" s="35">
        <v>0</v>
      </c>
      <c r="D171" s="35">
        <v>0</v>
      </c>
      <c r="E171" s="35">
        <v>0</v>
      </c>
      <c r="F171" s="35">
        <v>0</v>
      </c>
      <c r="G171" s="36">
        <v>0</v>
      </c>
      <c r="H171" s="35">
        <v>0</v>
      </c>
      <c r="I171" s="35">
        <v>0</v>
      </c>
      <c r="J171" s="35">
        <v>0</v>
      </c>
      <c r="K171" s="35">
        <v>0</v>
      </c>
      <c r="L171" s="36">
        <v>0</v>
      </c>
      <c r="M171" s="35">
        <v>0</v>
      </c>
      <c r="N171" s="35">
        <v>0</v>
      </c>
      <c r="O171" s="35">
        <v>0</v>
      </c>
      <c r="P171" s="35">
        <v>0</v>
      </c>
      <c r="Q171" s="36">
        <v>0</v>
      </c>
      <c r="R171" s="3"/>
      <c r="S171" s="3"/>
      <c r="T171" s="3"/>
      <c r="U171" s="3"/>
      <c r="V171" s="3"/>
    </row>
    <row r="172" spans="1:22" outlineLevel="1" x14ac:dyDescent="0.3">
      <c r="A172" s="238" t="s">
        <v>68</v>
      </c>
      <c r="B172" s="239"/>
      <c r="C172" s="87">
        <f t="shared" ref="C172:Q172" si="189">(C170+C171)/C24</f>
        <v>2.2354570637119116</v>
      </c>
      <c r="D172" s="87">
        <f t="shared" si="189"/>
        <v>1.7589531680440771</v>
      </c>
      <c r="E172" s="87">
        <f t="shared" si="189"/>
        <v>2.0713550600343051</v>
      </c>
      <c r="F172" s="87">
        <f t="shared" si="189"/>
        <v>3.0302927161334239</v>
      </c>
      <c r="G172" s="88">
        <f t="shared" si="189"/>
        <v>3.0437606837606839</v>
      </c>
      <c r="H172" s="87">
        <f t="shared" si="189"/>
        <v>2.4130434782608696</v>
      </c>
      <c r="I172" s="87">
        <f t="shared" si="189"/>
        <v>2.1186038630972552</v>
      </c>
      <c r="J172" s="87">
        <f t="shared" si="189"/>
        <v>2.4360622462787549</v>
      </c>
      <c r="K172" s="87">
        <f t="shared" si="189"/>
        <v>2.7349356804333107</v>
      </c>
      <c r="L172" s="88">
        <f t="shared" si="189"/>
        <v>2.733085250338295</v>
      </c>
      <c r="M172" s="87">
        <f t="shared" si="189"/>
        <v>4.1025466893039049</v>
      </c>
      <c r="N172" s="87">
        <f t="shared" si="189"/>
        <v>3.9426621160409558</v>
      </c>
      <c r="O172" s="87">
        <f t="shared" si="189"/>
        <v>3.3082732578098182</v>
      </c>
      <c r="P172" s="87">
        <f t="shared" si="189"/>
        <v>3.4715869715869716</v>
      </c>
      <c r="Q172" s="88">
        <f t="shared" si="189"/>
        <v>3.4299897295446766</v>
      </c>
      <c r="R172" s="3"/>
      <c r="S172" s="3"/>
      <c r="T172" s="3"/>
      <c r="U172" s="3"/>
      <c r="V172" s="3"/>
    </row>
    <row r="173" spans="1:22" x14ac:dyDescent="0.3">
      <c r="A173" s="233"/>
      <c r="B173" s="233"/>
      <c r="C173" s="27"/>
      <c r="D173" s="27"/>
      <c r="E173" s="27"/>
      <c r="F173" s="27"/>
      <c r="G173" s="27"/>
      <c r="H173" s="27"/>
      <c r="I173" s="27"/>
      <c r="J173" s="27"/>
      <c r="K173" s="27"/>
      <c r="L173" s="27"/>
      <c r="M173" s="27"/>
      <c r="N173" s="27"/>
      <c r="O173" s="27"/>
      <c r="P173" s="27"/>
      <c r="Q173" s="27"/>
      <c r="R173" s="3"/>
      <c r="S173" s="3"/>
      <c r="T173" s="3"/>
      <c r="U173" s="3"/>
      <c r="V173" s="3"/>
    </row>
    <row r="174" spans="1:22" ht="15.6" x14ac:dyDescent="0.3">
      <c r="A174" s="211" t="s">
        <v>25</v>
      </c>
      <c r="B174" s="212"/>
      <c r="C174" s="32" t="s">
        <v>112</v>
      </c>
      <c r="D174" s="32" t="s">
        <v>113</v>
      </c>
      <c r="E174" s="32" t="s">
        <v>114</v>
      </c>
      <c r="F174" s="32" t="s">
        <v>115</v>
      </c>
      <c r="G174" s="123" t="s">
        <v>115</v>
      </c>
      <c r="H174" s="32" t="s">
        <v>99</v>
      </c>
      <c r="I174" s="32" t="s">
        <v>104</v>
      </c>
      <c r="J174" s="32" t="s">
        <v>105</v>
      </c>
      <c r="K174" s="32" t="s">
        <v>106</v>
      </c>
      <c r="L174" s="123" t="s">
        <v>106</v>
      </c>
      <c r="M174" s="32" t="s">
        <v>101</v>
      </c>
      <c r="N174" s="32" t="s">
        <v>100</v>
      </c>
      <c r="O174" s="32" t="s">
        <v>102</v>
      </c>
      <c r="P174" s="32" t="s">
        <v>103</v>
      </c>
      <c r="Q174" s="123" t="s">
        <v>103</v>
      </c>
      <c r="R174" s="3"/>
      <c r="S174" s="3"/>
      <c r="T174" s="3"/>
      <c r="U174" s="3"/>
      <c r="V174" s="3"/>
    </row>
    <row r="175" spans="1:22" ht="16.2" x14ac:dyDescent="0.45">
      <c r="A175" s="219"/>
      <c r="B175" s="220"/>
      <c r="C175" s="33" t="s">
        <v>116</v>
      </c>
      <c r="D175" s="33" t="s">
        <v>117</v>
      </c>
      <c r="E175" s="33" t="s">
        <v>118</v>
      </c>
      <c r="F175" s="33" t="s">
        <v>119</v>
      </c>
      <c r="G175" s="124" t="s">
        <v>120</v>
      </c>
      <c r="H175" s="33" t="s">
        <v>107</v>
      </c>
      <c r="I175" s="33" t="s">
        <v>108</v>
      </c>
      <c r="J175" s="33" t="s">
        <v>109</v>
      </c>
      <c r="K175" s="33" t="s">
        <v>110</v>
      </c>
      <c r="L175" s="124" t="s">
        <v>111</v>
      </c>
      <c r="M175" s="33" t="s">
        <v>98</v>
      </c>
      <c r="N175" s="33" t="s">
        <v>97</v>
      </c>
      <c r="O175" s="33" t="s">
        <v>96</v>
      </c>
      <c r="P175" s="33" t="s">
        <v>95</v>
      </c>
      <c r="Q175" s="124" t="s">
        <v>94</v>
      </c>
      <c r="R175" s="3"/>
      <c r="S175" s="3"/>
      <c r="T175" s="3"/>
      <c r="U175" s="3"/>
      <c r="V175" s="3"/>
    </row>
    <row r="176" spans="1:22" ht="16.2" outlineLevel="1" x14ac:dyDescent="0.45">
      <c r="A176" s="231" t="s">
        <v>70</v>
      </c>
      <c r="B176" s="232"/>
      <c r="C176" s="15"/>
      <c r="D176" s="15"/>
      <c r="E176" s="15"/>
      <c r="F176" s="15"/>
      <c r="G176" s="16"/>
      <c r="H176" s="15"/>
      <c r="I176" s="15"/>
      <c r="J176" s="15"/>
      <c r="K176" s="15"/>
      <c r="L176" s="16"/>
      <c r="M176" s="15"/>
      <c r="N176" s="15"/>
      <c r="O176" s="15"/>
      <c r="P176" s="15"/>
      <c r="Q176" s="16"/>
      <c r="R176" s="3"/>
      <c r="S176" s="3"/>
      <c r="T176" s="3"/>
      <c r="U176" s="3"/>
      <c r="V176" s="3"/>
    </row>
    <row r="177" spans="1:22" s="48" customFormat="1" outlineLevel="1" x14ac:dyDescent="0.3">
      <c r="A177" s="92" t="s">
        <v>73</v>
      </c>
      <c r="B177" s="93"/>
      <c r="C177" s="58">
        <f>C131/C8</f>
        <v>0.13879598662207357</v>
      </c>
      <c r="D177" s="58">
        <f>D131/D8</f>
        <v>0.12507768800497204</v>
      </c>
      <c r="E177" s="58">
        <f>E131/E8</f>
        <v>0.11681643132220795</v>
      </c>
      <c r="F177" s="58">
        <f>F131/F8</f>
        <v>9.6151663071858323E-2</v>
      </c>
      <c r="G177" s="104"/>
      <c r="H177" s="58">
        <f>H131/H8</f>
        <v>0.10794322709163347</v>
      </c>
      <c r="I177" s="58">
        <f>I131/I8</f>
        <v>0.1107177341486965</v>
      </c>
      <c r="J177" s="58">
        <f>J131/J8</f>
        <v>9.7792408985282728E-2</v>
      </c>
      <c r="K177" s="58">
        <f>K131/K8</f>
        <v>6.2750539623805113E-2</v>
      </c>
      <c r="L177" s="104"/>
      <c r="M177" s="58">
        <f>M131/M8</f>
        <v>7.9809460137054991E-2</v>
      </c>
      <c r="N177" s="58">
        <f>N131/N8</f>
        <v>8.9637971430730864E-2</v>
      </c>
      <c r="O177" s="58">
        <f>O131/O8</f>
        <v>7.569024550156625E-2</v>
      </c>
      <c r="P177" s="58">
        <f>P131/P8</f>
        <v>5.7467186945725432E-2</v>
      </c>
      <c r="Q177" s="104"/>
    </row>
    <row r="178" spans="1:22" s="48" customFormat="1" outlineLevel="1" x14ac:dyDescent="0.3">
      <c r="A178" s="203" t="s">
        <v>52</v>
      </c>
      <c r="B178" s="204"/>
      <c r="C178" s="62"/>
      <c r="D178" s="62"/>
      <c r="E178" s="62"/>
      <c r="F178" s="62"/>
      <c r="G178" s="74"/>
      <c r="H178" s="62">
        <f t="shared" ref="H178:Q178" si="190">H145/C145-1</f>
        <v>0.69560844787127052</v>
      </c>
      <c r="I178" s="62">
        <f t="shared" si="190"/>
        <v>0.67573483427141956</v>
      </c>
      <c r="J178" s="62">
        <f t="shared" si="190"/>
        <v>0.71316745876432774</v>
      </c>
      <c r="K178" s="62">
        <f t="shared" si="190"/>
        <v>0.20803149606299209</v>
      </c>
      <c r="L178" s="74">
        <f t="shared" si="190"/>
        <v>0.50335237149242618</v>
      </c>
      <c r="M178" s="62">
        <f t="shared" si="190"/>
        <v>0.55397390272835123</v>
      </c>
      <c r="N178" s="62">
        <f t="shared" si="190"/>
        <v>0.17540585930210861</v>
      </c>
      <c r="O178" s="62">
        <f t="shared" si="190"/>
        <v>0.22356396866840722</v>
      </c>
      <c r="P178" s="62">
        <f t="shared" si="190"/>
        <v>-7.0394994133750055E-3</v>
      </c>
      <c r="Q178" s="74">
        <f t="shared" si="190"/>
        <v>0.20887016848364715</v>
      </c>
    </row>
    <row r="179" spans="1:22" outlineLevel="1" x14ac:dyDescent="0.3">
      <c r="A179" s="103" t="s">
        <v>71</v>
      </c>
      <c r="B179" s="125"/>
      <c r="C179" s="58">
        <f t="shared" ref="C179:Q179" si="191">-C147/C8</f>
        <v>0.2103307320698625</v>
      </c>
      <c r="D179" s="58">
        <f t="shared" si="191"/>
        <v>0.15459912989434432</v>
      </c>
      <c r="E179" s="58">
        <f t="shared" si="191"/>
        <v>0.15618314077877621</v>
      </c>
      <c r="F179" s="58">
        <f t="shared" si="191"/>
        <v>0.14405721421273698</v>
      </c>
      <c r="G179" s="130">
        <f t="shared" si="191"/>
        <v>0.16249366813807078</v>
      </c>
      <c r="H179" s="58">
        <f t="shared" si="191"/>
        <v>0.15824203187250996</v>
      </c>
      <c r="I179" s="58">
        <f t="shared" si="191"/>
        <v>0.15491900010728463</v>
      </c>
      <c r="J179" s="58">
        <f t="shared" si="191"/>
        <v>0.16992641363284275</v>
      </c>
      <c r="K179" s="58">
        <f t="shared" si="191"/>
        <v>0.17445266728337958</v>
      </c>
      <c r="L179" s="130">
        <f t="shared" si="191"/>
        <v>0.16562123336531129</v>
      </c>
      <c r="M179" s="58">
        <f t="shared" si="191"/>
        <v>0.23499916429884674</v>
      </c>
      <c r="N179" s="58">
        <f t="shared" si="191"/>
        <v>0.26150706673720808</v>
      </c>
      <c r="O179" s="58">
        <f t="shared" si="191"/>
        <v>0.24346179063160195</v>
      </c>
      <c r="P179" s="58">
        <f t="shared" si="191"/>
        <v>0.25428638997280362</v>
      </c>
      <c r="Q179" s="130">
        <f t="shared" si="191"/>
        <v>0.24920305168523227</v>
      </c>
      <c r="R179" s="3"/>
      <c r="S179" s="3"/>
      <c r="T179" s="3"/>
      <c r="U179" s="3"/>
      <c r="V179" s="3"/>
    </row>
    <row r="180" spans="1:22" ht="16.2" x14ac:dyDescent="0.45">
      <c r="A180" s="18"/>
      <c r="B180" s="18"/>
      <c r="C180" s="30"/>
      <c r="D180" s="30"/>
      <c r="E180" s="30"/>
      <c r="F180" s="30"/>
      <c r="G180" s="29"/>
      <c r="H180" s="30"/>
      <c r="I180" s="30"/>
      <c r="J180" s="30"/>
      <c r="K180" s="30"/>
      <c r="L180" s="29"/>
      <c r="M180" s="30"/>
      <c r="N180" s="30"/>
      <c r="O180" s="30"/>
      <c r="P180" s="30"/>
      <c r="Q180" s="29"/>
      <c r="R180" s="30"/>
      <c r="S180" s="30"/>
      <c r="T180" s="30"/>
      <c r="U180" s="30"/>
      <c r="V180" s="29"/>
    </row>
  </sheetData>
  <dataConsolidate/>
  <mergeCells count="93">
    <mergeCell ref="A105:B105"/>
    <mergeCell ref="A104:B104"/>
    <mergeCell ref="A122:B122"/>
    <mergeCell ref="A146:B146"/>
    <mergeCell ref="A98:B98"/>
    <mergeCell ref="A150:B150"/>
    <mergeCell ref="A29:B29"/>
    <mergeCell ref="A28:B28"/>
    <mergeCell ref="A46:B46"/>
    <mergeCell ref="A56:B56"/>
    <mergeCell ref="A30:B30"/>
    <mergeCell ref="A36:B36"/>
    <mergeCell ref="A152:B152"/>
    <mergeCell ref="A151:B151"/>
    <mergeCell ref="A127:B127"/>
    <mergeCell ref="A101:B101"/>
    <mergeCell ref="A116:B116"/>
    <mergeCell ref="A113:B113"/>
    <mergeCell ref="A74:B74"/>
    <mergeCell ref="A73:B73"/>
    <mergeCell ref="A70:B70"/>
    <mergeCell ref="A77:B77"/>
    <mergeCell ref="A76:B76"/>
    <mergeCell ref="A147:B147"/>
    <mergeCell ref="A149:B149"/>
    <mergeCell ref="A115:B115"/>
    <mergeCell ref="A60:B60"/>
    <mergeCell ref="A59:B59"/>
    <mergeCell ref="A58:B58"/>
    <mergeCell ref="A2:B2"/>
    <mergeCell ref="A161:B161"/>
    <mergeCell ref="A159:B159"/>
    <mergeCell ref="A158:B158"/>
    <mergeCell ref="A178:B178"/>
    <mergeCell ref="A123:B123"/>
    <mergeCell ref="A176:B176"/>
    <mergeCell ref="A175:B175"/>
    <mergeCell ref="A174:B174"/>
    <mergeCell ref="A173:B173"/>
    <mergeCell ref="A168:B168"/>
    <mergeCell ref="A166:B166"/>
    <mergeCell ref="A172:B172"/>
    <mergeCell ref="A165:B165"/>
    <mergeCell ref="A162:B162"/>
    <mergeCell ref="A96:B96"/>
    <mergeCell ref="A97:B97"/>
    <mergeCell ref="A99:B99"/>
    <mergeCell ref="A106:B106"/>
    <mergeCell ref="A78:B78"/>
    <mergeCell ref="A79:B79"/>
    <mergeCell ref="A80:B80"/>
    <mergeCell ref="A102:B102"/>
    <mergeCell ref="A100:B100"/>
    <mergeCell ref="A3:B3"/>
    <mergeCell ref="A4:B4"/>
    <mergeCell ref="A6:B6"/>
    <mergeCell ref="A7:B7"/>
    <mergeCell ref="A26:B26"/>
    <mergeCell ref="A25:B25"/>
    <mergeCell ref="A24:B24"/>
    <mergeCell ref="A23:B23"/>
    <mergeCell ref="A20:B20"/>
    <mergeCell ref="A8:B8"/>
    <mergeCell ref="A19:B19"/>
    <mergeCell ref="A18:B18"/>
    <mergeCell ref="A62:B62"/>
    <mergeCell ref="A75:B75"/>
    <mergeCell ref="A69:B69"/>
    <mergeCell ref="A112:B112"/>
    <mergeCell ref="A110:B110"/>
    <mergeCell ref="A111:B111"/>
    <mergeCell ref="A108:B108"/>
    <mergeCell ref="A107:B107"/>
    <mergeCell ref="A71:B71"/>
    <mergeCell ref="A72:B72"/>
    <mergeCell ref="A92:B92"/>
    <mergeCell ref="A91:B91"/>
    <mergeCell ref="A63:B63"/>
    <mergeCell ref="A89:B89"/>
    <mergeCell ref="A88:B88"/>
    <mergeCell ref="A86:B86"/>
    <mergeCell ref="A119:B119"/>
    <mergeCell ref="A118:B118"/>
    <mergeCell ref="A145:B145"/>
    <mergeCell ref="A144:B144"/>
    <mergeCell ref="A140:B140"/>
    <mergeCell ref="A138:B138"/>
    <mergeCell ref="A137:B137"/>
    <mergeCell ref="A136:B136"/>
    <mergeCell ref="A125:B125"/>
    <mergeCell ref="A121:B121"/>
    <mergeCell ref="A120:B120"/>
    <mergeCell ref="A103:B103"/>
  </mergeCells>
  <pageMargins left="0.7" right="0.7" top="0.75" bottom="0.75" header="0.3" footer="0.3"/>
  <pageSetup scale="43" orientation="landscape" r:id="rId1"/>
  <headerFooter>
    <oddFooter>&amp;CGutenberg Research LLC prohibits the redistribution of this document in whole or part without the written permission. 
© Gutenberg Research LLC 2018.</oddFooter>
  </headerFooter>
  <rowBreaks count="1" manualBreakCount="1">
    <brk id="84"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K20" sqref="K20"/>
    </sheetView>
  </sheetViews>
  <sheetFormatPr defaultColWidth="8.77734375" defaultRowHeight="14.4" x14ac:dyDescent="0.3"/>
  <cols>
    <col min="1" max="1" width="1.33203125" customWidth="1"/>
    <col min="2" max="2" width="12.33203125" customWidth="1"/>
    <col min="8" max="8" width="15.33203125" bestFit="1" customWidth="1"/>
    <col min="11" max="11" width="9.44140625" bestFit="1" customWidth="1"/>
  </cols>
  <sheetData>
    <row r="1" spans="2:11" x14ac:dyDescent="0.3">
      <c r="B1" t="s">
        <v>91</v>
      </c>
      <c r="C1" s="147"/>
    </row>
    <row r="2" spans="2:11" x14ac:dyDescent="0.3">
      <c r="B2" t="s">
        <v>74</v>
      </c>
    </row>
    <row r="3" spans="2:11" ht="43.2" x14ac:dyDescent="0.3">
      <c r="B3" s="134" t="s">
        <v>75</v>
      </c>
      <c r="C3" s="134" t="s">
        <v>76</v>
      </c>
      <c r="D3" s="134" t="s">
        <v>77</v>
      </c>
      <c r="E3" s="134" t="s">
        <v>78</v>
      </c>
      <c r="F3" s="134" t="s">
        <v>79</v>
      </c>
      <c r="G3" s="134" t="s">
        <v>90</v>
      </c>
      <c r="H3" s="134" t="s">
        <v>80</v>
      </c>
      <c r="I3" s="134" t="s">
        <v>81</v>
      </c>
      <c r="J3" s="134" t="s">
        <v>82</v>
      </c>
      <c r="K3" s="134" t="s">
        <v>83</v>
      </c>
    </row>
    <row r="4" spans="2:11" x14ac:dyDescent="0.3">
      <c r="B4" s="162">
        <v>43132</v>
      </c>
      <c r="C4" s="143">
        <v>188.220001</v>
      </c>
      <c r="D4" s="143">
        <v>195.320007</v>
      </c>
      <c r="E4" s="143">
        <v>167.179993</v>
      </c>
      <c r="F4" s="143">
        <v>178.320007</v>
      </c>
      <c r="G4" s="143">
        <v>178.320007</v>
      </c>
      <c r="H4" s="197">
        <v>516251600</v>
      </c>
      <c r="I4" s="198"/>
      <c r="J4" s="199"/>
      <c r="K4" s="144"/>
    </row>
    <row r="5" spans="2:11" x14ac:dyDescent="0.3">
      <c r="B5" s="138">
        <v>43160</v>
      </c>
      <c r="C5">
        <v>179.009995</v>
      </c>
      <c r="D5">
        <v>186.10000600000001</v>
      </c>
      <c r="E5">
        <v>149.020004</v>
      </c>
      <c r="F5">
        <v>159.78999300000001</v>
      </c>
      <c r="G5">
        <v>159.78999300000001</v>
      </c>
      <c r="H5" s="1">
        <v>995523100</v>
      </c>
      <c r="I5" s="139">
        <f>+G5/G4-1</f>
        <v>-0.10391438578173673</v>
      </c>
      <c r="J5" s="140">
        <f t="shared" ref="J5:J16" si="0">I5-$I$17</f>
        <v>-0.10391393982728987</v>
      </c>
      <c r="K5" s="152">
        <f>J5^2</f>
        <v>1.0798106890429621E-2</v>
      </c>
    </row>
    <row r="6" spans="2:11" x14ac:dyDescent="0.3">
      <c r="B6" s="138">
        <v>43191</v>
      </c>
      <c r="C6">
        <v>157.80999800000001</v>
      </c>
      <c r="D6">
        <v>177.10000600000001</v>
      </c>
      <c r="E6">
        <v>150.509995</v>
      </c>
      <c r="F6">
        <v>172</v>
      </c>
      <c r="G6">
        <v>172</v>
      </c>
      <c r="H6" s="1">
        <v>749046400</v>
      </c>
      <c r="I6" s="139">
        <f>+G6/G5-1</f>
        <v>7.6412838944175832E-2</v>
      </c>
      <c r="J6" s="140">
        <f t="shared" si="0"/>
        <v>7.6413284898622688E-2</v>
      </c>
      <c r="K6" s="152">
        <f>J6^2</f>
        <v>5.8389901089980784E-3</v>
      </c>
    </row>
    <row r="7" spans="2:11" x14ac:dyDescent="0.3">
      <c r="B7" s="138">
        <v>43221</v>
      </c>
      <c r="C7">
        <v>172</v>
      </c>
      <c r="D7">
        <v>192.720001</v>
      </c>
      <c r="E7">
        <v>170.229996</v>
      </c>
      <c r="F7">
        <v>191.779999</v>
      </c>
      <c r="G7">
        <v>191.779999</v>
      </c>
      <c r="H7" s="1">
        <v>401144100</v>
      </c>
      <c r="I7" s="139">
        <f t="shared" ref="I7:I16" si="1">+G7/G6-1</f>
        <v>0.11499999418604645</v>
      </c>
      <c r="J7" s="140">
        <f t="shared" si="0"/>
        <v>0.11500044014049331</v>
      </c>
      <c r="K7" s="152">
        <f t="shared" ref="K7:K15" si="2">J7^2</f>
        <v>1.3225101232507185E-2</v>
      </c>
    </row>
    <row r="8" spans="2:11" x14ac:dyDescent="0.3">
      <c r="B8" s="138">
        <v>43252</v>
      </c>
      <c r="C8">
        <v>193.070007</v>
      </c>
      <c r="D8">
        <v>203.550003</v>
      </c>
      <c r="E8">
        <v>186.429993</v>
      </c>
      <c r="F8">
        <v>194.320007</v>
      </c>
      <c r="G8">
        <v>194.320007</v>
      </c>
      <c r="H8" s="1">
        <v>387265600</v>
      </c>
      <c r="I8" s="139">
        <f t="shared" si="1"/>
        <v>1.3244384259278208E-2</v>
      </c>
      <c r="J8" s="140">
        <f t="shared" si="0"/>
        <v>1.324483021372507E-2</v>
      </c>
      <c r="K8" s="152">
        <f t="shared" si="2"/>
        <v>1.7542552739040448E-4</v>
      </c>
    </row>
    <row r="9" spans="2:11" x14ac:dyDescent="0.3">
      <c r="B9" s="138">
        <v>43282</v>
      </c>
      <c r="C9">
        <v>193.36999499999999</v>
      </c>
      <c r="D9">
        <v>218.61999499999999</v>
      </c>
      <c r="E9">
        <v>166.55999800000001</v>
      </c>
      <c r="F9">
        <v>172.58000200000001</v>
      </c>
      <c r="G9">
        <v>172.58000200000001</v>
      </c>
      <c r="H9" s="1">
        <v>647030700</v>
      </c>
      <c r="I9" s="139">
        <f t="shared" si="1"/>
        <v>-0.11187733746839557</v>
      </c>
      <c r="J9" s="140">
        <f t="shared" si="0"/>
        <v>-0.11187689151394871</v>
      </c>
      <c r="K9" s="152">
        <f t="shared" si="2"/>
        <v>1.2516438854823848E-2</v>
      </c>
    </row>
    <row r="10" spans="2:11" x14ac:dyDescent="0.3">
      <c r="B10" s="138">
        <v>43313</v>
      </c>
      <c r="C10">
        <v>173.929993</v>
      </c>
      <c r="D10">
        <v>188.300003</v>
      </c>
      <c r="E10">
        <v>170.270004</v>
      </c>
      <c r="F10">
        <v>175.729996</v>
      </c>
      <c r="G10">
        <v>175.729996</v>
      </c>
      <c r="H10" s="1">
        <v>548743400</v>
      </c>
      <c r="I10" s="139">
        <f t="shared" si="1"/>
        <v>1.8252369703877891E-2</v>
      </c>
      <c r="J10" s="140">
        <f t="shared" si="0"/>
        <v>1.8252815658324751E-2</v>
      </c>
      <c r="K10" s="152">
        <f t="shared" si="2"/>
        <v>3.331652794567852E-4</v>
      </c>
    </row>
    <row r="11" spans="2:11" x14ac:dyDescent="0.3">
      <c r="B11" s="138">
        <v>43344</v>
      </c>
      <c r="C11">
        <v>173.5</v>
      </c>
      <c r="D11">
        <v>173.88999899999999</v>
      </c>
      <c r="E11">
        <v>158.86999499999999</v>
      </c>
      <c r="F11">
        <v>164.46000699999999</v>
      </c>
      <c r="G11">
        <v>164.46000699999999</v>
      </c>
      <c r="H11" s="1">
        <v>500357000</v>
      </c>
      <c r="I11" s="139">
        <f t="shared" si="1"/>
        <v>-6.4132414821201134E-2</v>
      </c>
      <c r="J11" s="140">
        <f t="shared" si="0"/>
        <v>-6.4131968866754277E-2</v>
      </c>
      <c r="K11" s="152">
        <f t="shared" si="2"/>
        <v>4.1129094307263397E-3</v>
      </c>
    </row>
    <row r="12" spans="2:11" x14ac:dyDescent="0.3">
      <c r="B12" s="138">
        <v>43374</v>
      </c>
      <c r="C12">
        <v>163.029999</v>
      </c>
      <c r="D12">
        <v>165.88000500000001</v>
      </c>
      <c r="E12">
        <v>139.029999</v>
      </c>
      <c r="F12">
        <v>151.78999300000001</v>
      </c>
      <c r="G12">
        <v>151.78999300000001</v>
      </c>
      <c r="H12" s="1">
        <v>622446300</v>
      </c>
      <c r="I12" s="139">
        <f t="shared" si="1"/>
        <v>-7.7040091576792813E-2</v>
      </c>
      <c r="J12" s="140">
        <f t="shared" si="0"/>
        <v>-7.7039645622345956E-2</v>
      </c>
      <c r="K12" s="152">
        <f t="shared" si="2"/>
        <v>5.9351069976166489E-3</v>
      </c>
    </row>
    <row r="13" spans="2:11" x14ac:dyDescent="0.3">
      <c r="B13" s="138">
        <v>43405</v>
      </c>
      <c r="C13">
        <v>151.520004</v>
      </c>
      <c r="D13">
        <v>154.13000500000001</v>
      </c>
      <c r="E13">
        <v>126.849998</v>
      </c>
      <c r="F13">
        <v>140.61000100000001</v>
      </c>
      <c r="G13">
        <v>140.61000100000001</v>
      </c>
      <c r="H13" s="1">
        <v>518151700</v>
      </c>
      <c r="I13" s="139">
        <f t="shared" si="1"/>
        <v>-7.3654341627118924E-2</v>
      </c>
      <c r="J13" s="140">
        <f t="shared" si="0"/>
        <v>-7.3653895672672068E-2</v>
      </c>
      <c r="K13" s="152">
        <f t="shared" si="2"/>
        <v>5.4248963477608611E-3</v>
      </c>
    </row>
    <row r="14" spans="2:11" x14ac:dyDescent="0.3">
      <c r="B14" s="138">
        <v>43435</v>
      </c>
      <c r="C14">
        <v>143</v>
      </c>
      <c r="D14">
        <v>147.19000199999999</v>
      </c>
      <c r="E14">
        <v>123.019997</v>
      </c>
      <c r="F14">
        <v>131.08999600000001</v>
      </c>
      <c r="G14">
        <v>131.08999600000001</v>
      </c>
      <c r="H14" s="1">
        <v>558786200</v>
      </c>
      <c r="I14" s="139">
        <f t="shared" si="1"/>
        <v>-6.7705034722245649E-2</v>
      </c>
      <c r="J14" s="140">
        <f t="shared" si="0"/>
        <v>-6.7704588767798793E-2</v>
      </c>
      <c r="K14" s="152">
        <f t="shared" si="2"/>
        <v>4.5839113402167467E-3</v>
      </c>
    </row>
    <row r="15" spans="2:11" x14ac:dyDescent="0.3">
      <c r="B15" s="138">
        <v>43466</v>
      </c>
      <c r="C15">
        <v>128.990005</v>
      </c>
      <c r="D15">
        <v>171.679993</v>
      </c>
      <c r="E15">
        <v>128.55999800000001</v>
      </c>
      <c r="F15">
        <v>166.69000199999999</v>
      </c>
      <c r="G15">
        <v>166.69000199999999</v>
      </c>
      <c r="H15" s="1">
        <v>527547900</v>
      </c>
      <c r="I15" s="139">
        <f t="shared" si="1"/>
        <v>0.27156920502156368</v>
      </c>
      <c r="J15" s="140">
        <f t="shared" si="0"/>
        <v>0.27156965097601055</v>
      </c>
      <c r="K15" s="152">
        <f t="shared" si="2"/>
        <v>7.3750075331232179E-2</v>
      </c>
    </row>
    <row r="16" spans="2:11" x14ac:dyDescent="0.3">
      <c r="B16" s="141">
        <v>43497</v>
      </c>
      <c r="C16" s="137">
        <v>165.83999600000001</v>
      </c>
      <c r="D16" s="137">
        <v>172.470001</v>
      </c>
      <c r="E16" s="137">
        <v>163.61999499999999</v>
      </c>
      <c r="F16" s="137">
        <v>167.33000200000001</v>
      </c>
      <c r="G16" s="137">
        <v>167.33000200000001</v>
      </c>
      <c r="H16" s="200">
        <v>116688200</v>
      </c>
      <c r="I16" s="201">
        <f t="shared" si="1"/>
        <v>3.8394624291864243E-3</v>
      </c>
      <c r="J16" s="142">
        <f t="shared" si="0"/>
        <v>3.8399083836332857E-3</v>
      </c>
      <c r="K16" s="153">
        <f>J16^2</f>
        <v>1.4744896394697193E-5</v>
      </c>
    </row>
    <row r="17" spans="7:11" x14ac:dyDescent="0.3">
      <c r="G17" s="135"/>
      <c r="H17" s="148" t="s">
        <v>84</v>
      </c>
      <c r="I17" s="196">
        <f>AVERAGE(I5:I16)</f>
        <v>-4.4595444686120384E-7</v>
      </c>
      <c r="K17" s="136"/>
    </row>
    <row r="18" spans="7:11" x14ac:dyDescent="0.3">
      <c r="G18" s="135"/>
      <c r="J18" s="145" t="s">
        <v>85</v>
      </c>
      <c r="K18" s="157">
        <f>SUM(K5:K16)</f>
        <v>0.1367088722375534</v>
      </c>
    </row>
    <row r="19" spans="7:11" x14ac:dyDescent="0.3">
      <c r="G19" s="135"/>
      <c r="J19" s="145" t="s">
        <v>86</v>
      </c>
      <c r="K19" s="146">
        <f>K18/12</f>
        <v>1.1392406019796117E-2</v>
      </c>
    </row>
    <row r="20" spans="7:11" x14ac:dyDescent="0.3">
      <c r="G20" s="135"/>
      <c r="I20" s="147"/>
      <c r="J20" s="148" t="s">
        <v>87</v>
      </c>
      <c r="K20" s="149">
        <f>SQRT(K19)</f>
        <v>0.1067352145254607</v>
      </c>
    </row>
    <row r="21" spans="7:11" x14ac:dyDescent="0.3">
      <c r="G21" s="135"/>
      <c r="J21" s="151" t="s">
        <v>88</v>
      </c>
      <c r="K21" s="150">
        <f>_xlfn.STDEV.P(I5:I16)-K20</f>
        <v>0</v>
      </c>
    </row>
    <row r="22" spans="7:11" x14ac:dyDescent="0.3">
      <c r="G22" s="158"/>
      <c r="H22" s="137"/>
      <c r="I22" s="137"/>
      <c r="J22" s="159" t="s">
        <v>89</v>
      </c>
      <c r="K22" s="160">
        <f>ABS(I17)</f>
        <v>4.4595444686120384E-7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FCDB4-59D4-4E15-97AC-515F75872FEC}">
  <dimension ref="A1:B817"/>
  <sheetViews>
    <sheetView workbookViewId="0">
      <selection activeCell="C27" sqref="C27"/>
    </sheetView>
  </sheetViews>
  <sheetFormatPr defaultColWidth="8.77734375" defaultRowHeight="14.4" x14ac:dyDescent="0.3"/>
  <cols>
    <col min="1" max="1" width="14.6640625" customWidth="1"/>
  </cols>
  <sheetData>
    <row r="1" spans="1:2" x14ac:dyDescent="0.3">
      <c r="A1" s="193" t="s">
        <v>207</v>
      </c>
    </row>
    <row r="2" spans="1:2" x14ac:dyDescent="0.3">
      <c r="A2" s="189" t="s">
        <v>197</v>
      </c>
      <c r="B2" s="189"/>
    </row>
    <row r="3" spans="1:2" x14ac:dyDescent="0.3">
      <c r="A3" s="189" t="s">
        <v>198</v>
      </c>
      <c r="B3" s="189"/>
    </row>
    <row r="4" spans="1:2" x14ac:dyDescent="0.3">
      <c r="A4" s="189" t="s">
        <v>199</v>
      </c>
      <c r="B4" s="189"/>
    </row>
    <row r="5" spans="1:2" x14ac:dyDescent="0.3">
      <c r="A5" s="189" t="s">
        <v>200</v>
      </c>
      <c r="B5" s="189"/>
    </row>
    <row r="6" spans="1:2" x14ac:dyDescent="0.3">
      <c r="A6" s="189" t="s">
        <v>201</v>
      </c>
      <c r="B6" s="189"/>
    </row>
    <row r="7" spans="1:2" x14ac:dyDescent="0.3">
      <c r="A7" s="189" t="s">
        <v>202</v>
      </c>
      <c r="B7" s="189"/>
    </row>
    <row r="9" spans="1:2" x14ac:dyDescent="0.3">
      <c r="A9" s="189" t="s">
        <v>203</v>
      </c>
      <c r="B9" s="189" t="s">
        <v>204</v>
      </c>
    </row>
    <row r="11" spans="1:2" x14ac:dyDescent="0.3">
      <c r="A11" s="189" t="s">
        <v>205</v>
      </c>
      <c r="B11" s="189"/>
    </row>
    <row r="12" spans="1:2" x14ac:dyDescent="0.3">
      <c r="A12" s="189" t="s">
        <v>206</v>
      </c>
      <c r="B12" s="189" t="s">
        <v>203</v>
      </c>
    </row>
    <row r="13" spans="1:2" x14ac:dyDescent="0.3">
      <c r="A13" s="190">
        <v>42373</v>
      </c>
      <c r="B13" s="192">
        <v>1.0803</v>
      </c>
    </row>
    <row r="14" spans="1:2" x14ac:dyDescent="0.3">
      <c r="A14" s="190">
        <v>42374</v>
      </c>
      <c r="B14" s="192">
        <v>1.0743</v>
      </c>
    </row>
    <row r="15" spans="1:2" x14ac:dyDescent="0.3">
      <c r="A15" s="190">
        <v>42375</v>
      </c>
      <c r="B15" s="192">
        <v>1.0762</v>
      </c>
    </row>
    <row r="16" spans="1:2" x14ac:dyDescent="0.3">
      <c r="A16" s="190">
        <v>42376</v>
      </c>
      <c r="B16" s="192">
        <v>1.0860000000000001</v>
      </c>
    </row>
    <row r="17" spans="1:2" x14ac:dyDescent="0.3">
      <c r="A17" s="190">
        <v>42377</v>
      </c>
      <c r="B17" s="192">
        <v>1.0885</v>
      </c>
    </row>
    <row r="18" spans="1:2" x14ac:dyDescent="0.3">
      <c r="A18" s="190">
        <v>42380</v>
      </c>
      <c r="B18" s="192">
        <v>1.0878000000000001</v>
      </c>
    </row>
    <row r="19" spans="1:2" x14ac:dyDescent="0.3">
      <c r="A19" s="190">
        <v>42381</v>
      </c>
      <c r="B19" s="192">
        <v>1.0837000000000001</v>
      </c>
    </row>
    <row r="20" spans="1:2" x14ac:dyDescent="0.3">
      <c r="A20" s="190">
        <v>42382</v>
      </c>
      <c r="B20" s="192">
        <v>1.0862000000000001</v>
      </c>
    </row>
    <row r="21" spans="1:2" x14ac:dyDescent="0.3">
      <c r="A21" s="190">
        <v>42383</v>
      </c>
      <c r="B21" s="192">
        <v>1.0862000000000001</v>
      </c>
    </row>
    <row r="22" spans="1:2" x14ac:dyDescent="0.3">
      <c r="A22" s="190">
        <v>42384</v>
      </c>
      <c r="B22" s="192">
        <v>1.0964</v>
      </c>
    </row>
    <row r="23" spans="1:2" x14ac:dyDescent="0.3">
      <c r="A23" s="190">
        <v>42387</v>
      </c>
      <c r="B23" s="191">
        <v>0</v>
      </c>
    </row>
    <row r="24" spans="1:2" x14ac:dyDescent="0.3">
      <c r="A24" s="190">
        <v>42388</v>
      </c>
      <c r="B24" s="192">
        <v>1.0906</v>
      </c>
    </row>
    <row r="25" spans="1:2" x14ac:dyDescent="0.3">
      <c r="A25" s="190">
        <v>42389</v>
      </c>
      <c r="B25" s="192">
        <v>1.0908</v>
      </c>
    </row>
    <row r="26" spans="1:2" x14ac:dyDescent="0.3">
      <c r="A26" s="190">
        <v>42390</v>
      </c>
      <c r="B26" s="192">
        <v>1.0832999999999999</v>
      </c>
    </row>
    <row r="27" spans="1:2" x14ac:dyDescent="0.3">
      <c r="A27" s="190">
        <v>42391</v>
      </c>
      <c r="B27" s="192">
        <v>1.0813999999999999</v>
      </c>
    </row>
    <row r="28" spans="1:2" x14ac:dyDescent="0.3">
      <c r="A28" s="190">
        <v>42394</v>
      </c>
      <c r="B28" s="192">
        <v>1.0831999999999999</v>
      </c>
    </row>
    <row r="29" spans="1:2" x14ac:dyDescent="0.3">
      <c r="A29" s="190">
        <v>42395</v>
      </c>
      <c r="B29" s="192">
        <v>1.0846</v>
      </c>
    </row>
    <row r="30" spans="1:2" x14ac:dyDescent="0.3">
      <c r="A30" s="190">
        <v>42396</v>
      </c>
      <c r="B30" s="192">
        <v>1.0867</v>
      </c>
    </row>
    <row r="31" spans="1:2" x14ac:dyDescent="0.3">
      <c r="A31" s="190">
        <v>42397</v>
      </c>
      <c r="B31" s="192">
        <v>1.0952</v>
      </c>
    </row>
    <row r="32" spans="1:2" x14ac:dyDescent="0.3">
      <c r="A32" s="190">
        <v>42398</v>
      </c>
      <c r="B32" s="192">
        <v>1.0831999999999999</v>
      </c>
    </row>
    <row r="33" spans="1:2" x14ac:dyDescent="0.3">
      <c r="A33" s="190">
        <v>42401</v>
      </c>
      <c r="B33" s="192">
        <v>1.0888</v>
      </c>
    </row>
    <row r="34" spans="1:2" x14ac:dyDescent="0.3">
      <c r="A34" s="190">
        <v>42402</v>
      </c>
      <c r="B34" s="192">
        <v>1.0908</v>
      </c>
    </row>
    <row r="35" spans="1:2" x14ac:dyDescent="0.3">
      <c r="A35" s="190">
        <v>42403</v>
      </c>
      <c r="B35" s="192">
        <v>1.1051</v>
      </c>
    </row>
    <row r="36" spans="1:2" x14ac:dyDescent="0.3">
      <c r="A36" s="190">
        <v>42404</v>
      </c>
      <c r="B36" s="192">
        <v>1.1198999999999999</v>
      </c>
    </row>
    <row r="37" spans="1:2" x14ac:dyDescent="0.3">
      <c r="A37" s="190">
        <v>42405</v>
      </c>
      <c r="B37" s="192">
        <v>1.1131</v>
      </c>
    </row>
    <row r="38" spans="1:2" x14ac:dyDescent="0.3">
      <c r="A38" s="190">
        <v>42408</v>
      </c>
      <c r="B38" s="192">
        <v>1.117</v>
      </c>
    </row>
    <row r="39" spans="1:2" x14ac:dyDescent="0.3">
      <c r="A39" s="190">
        <v>42409</v>
      </c>
      <c r="B39" s="192">
        <v>1.1299999999999999</v>
      </c>
    </row>
    <row r="40" spans="1:2" x14ac:dyDescent="0.3">
      <c r="A40" s="190">
        <v>42410</v>
      </c>
      <c r="B40" s="192">
        <v>1.1222000000000001</v>
      </c>
    </row>
    <row r="41" spans="1:2" x14ac:dyDescent="0.3">
      <c r="A41" s="190">
        <v>42411</v>
      </c>
      <c r="B41" s="192">
        <v>1.1362000000000001</v>
      </c>
    </row>
    <row r="42" spans="1:2" x14ac:dyDescent="0.3">
      <c r="A42" s="190">
        <v>42412</v>
      </c>
      <c r="B42" s="192">
        <v>1.1234999999999999</v>
      </c>
    </row>
    <row r="43" spans="1:2" x14ac:dyDescent="0.3">
      <c r="A43" s="190">
        <v>42415</v>
      </c>
      <c r="B43" s="191">
        <v>0</v>
      </c>
    </row>
    <row r="44" spans="1:2" x14ac:dyDescent="0.3">
      <c r="A44" s="190">
        <v>42416</v>
      </c>
      <c r="B44" s="192">
        <v>1.1140000000000001</v>
      </c>
    </row>
    <row r="45" spans="1:2" x14ac:dyDescent="0.3">
      <c r="A45" s="190">
        <v>42417</v>
      </c>
      <c r="B45" s="192">
        <v>1.1140000000000001</v>
      </c>
    </row>
    <row r="46" spans="1:2" x14ac:dyDescent="0.3">
      <c r="A46" s="190">
        <v>42418</v>
      </c>
      <c r="B46" s="192">
        <v>1.1092</v>
      </c>
    </row>
    <row r="47" spans="1:2" x14ac:dyDescent="0.3">
      <c r="A47" s="190">
        <v>42419</v>
      </c>
      <c r="B47" s="192">
        <v>1.1127</v>
      </c>
    </row>
    <row r="48" spans="1:2" x14ac:dyDescent="0.3">
      <c r="A48" s="190">
        <v>42422</v>
      </c>
      <c r="B48" s="192">
        <v>1.1017999999999999</v>
      </c>
    </row>
    <row r="49" spans="1:2" x14ac:dyDescent="0.3">
      <c r="A49" s="190">
        <v>42423</v>
      </c>
      <c r="B49" s="192">
        <v>1.1015999999999999</v>
      </c>
    </row>
    <row r="50" spans="1:2" x14ac:dyDescent="0.3">
      <c r="A50" s="190">
        <v>42424</v>
      </c>
      <c r="B50" s="192">
        <v>1.1021000000000001</v>
      </c>
    </row>
    <row r="51" spans="1:2" x14ac:dyDescent="0.3">
      <c r="A51" s="190">
        <v>42425</v>
      </c>
      <c r="B51" s="192">
        <v>1.1026</v>
      </c>
    </row>
    <row r="52" spans="1:2" x14ac:dyDescent="0.3">
      <c r="A52" s="190">
        <v>42426</v>
      </c>
      <c r="B52" s="192">
        <v>1.0931999999999999</v>
      </c>
    </row>
    <row r="53" spans="1:2" x14ac:dyDescent="0.3">
      <c r="A53" s="190">
        <v>42429</v>
      </c>
      <c r="B53" s="192">
        <v>1.0868</v>
      </c>
    </row>
    <row r="54" spans="1:2" x14ac:dyDescent="0.3">
      <c r="A54" s="190">
        <v>42430</v>
      </c>
      <c r="B54" s="192">
        <v>1.0847</v>
      </c>
    </row>
    <row r="55" spans="1:2" x14ac:dyDescent="0.3">
      <c r="A55" s="190">
        <v>42431</v>
      </c>
      <c r="B55" s="192">
        <v>1.0845</v>
      </c>
    </row>
    <row r="56" spans="1:2" x14ac:dyDescent="0.3">
      <c r="A56" s="190">
        <v>42432</v>
      </c>
      <c r="B56" s="192">
        <v>1.0948</v>
      </c>
    </row>
    <row r="57" spans="1:2" x14ac:dyDescent="0.3">
      <c r="A57" s="190">
        <v>42433</v>
      </c>
      <c r="B57" s="192">
        <v>1.101</v>
      </c>
    </row>
    <row r="58" spans="1:2" x14ac:dyDescent="0.3">
      <c r="A58" s="190">
        <v>42436</v>
      </c>
      <c r="B58" s="192">
        <v>1.1004</v>
      </c>
    </row>
    <row r="59" spans="1:2" x14ac:dyDescent="0.3">
      <c r="A59" s="190">
        <v>42437</v>
      </c>
      <c r="B59" s="192">
        <v>1.1028</v>
      </c>
    </row>
    <row r="60" spans="1:2" x14ac:dyDescent="0.3">
      <c r="A60" s="190">
        <v>42438</v>
      </c>
      <c r="B60" s="192">
        <v>1.1022000000000001</v>
      </c>
    </row>
    <row r="61" spans="1:2" x14ac:dyDescent="0.3">
      <c r="A61" s="190">
        <v>42439</v>
      </c>
      <c r="B61" s="192">
        <v>1.1162000000000001</v>
      </c>
    </row>
    <row r="62" spans="1:2" x14ac:dyDescent="0.3">
      <c r="A62" s="190">
        <v>42440</v>
      </c>
      <c r="B62" s="192">
        <v>1.1180000000000001</v>
      </c>
    </row>
    <row r="63" spans="1:2" x14ac:dyDescent="0.3">
      <c r="A63" s="190">
        <v>42443</v>
      </c>
      <c r="B63" s="192">
        <v>1.1107</v>
      </c>
    </row>
    <row r="64" spans="1:2" x14ac:dyDescent="0.3">
      <c r="A64" s="190">
        <v>42444</v>
      </c>
      <c r="B64" s="192">
        <v>1.1112</v>
      </c>
    </row>
    <row r="65" spans="1:2" x14ac:dyDescent="0.3">
      <c r="A65" s="190">
        <v>42445</v>
      </c>
      <c r="B65" s="192">
        <v>1.1074999999999999</v>
      </c>
    </row>
    <row r="66" spans="1:2" x14ac:dyDescent="0.3">
      <c r="A66" s="190">
        <v>42446</v>
      </c>
      <c r="B66" s="192">
        <v>1.1315999999999999</v>
      </c>
    </row>
    <row r="67" spans="1:2" x14ac:dyDescent="0.3">
      <c r="A67" s="190">
        <v>42447</v>
      </c>
      <c r="B67" s="192">
        <v>1.1292</v>
      </c>
    </row>
    <row r="68" spans="1:2" x14ac:dyDescent="0.3">
      <c r="A68" s="190">
        <v>42450</v>
      </c>
      <c r="B68" s="192">
        <v>1.1259999999999999</v>
      </c>
    </row>
    <row r="69" spans="1:2" x14ac:dyDescent="0.3">
      <c r="A69" s="190">
        <v>42451</v>
      </c>
      <c r="B69" s="192">
        <v>1.1228</v>
      </c>
    </row>
    <row r="70" spans="1:2" x14ac:dyDescent="0.3">
      <c r="A70" s="190">
        <v>42452</v>
      </c>
      <c r="B70" s="192">
        <v>1.1173999999999999</v>
      </c>
    </row>
    <row r="71" spans="1:2" x14ac:dyDescent="0.3">
      <c r="A71" s="190">
        <v>42453</v>
      </c>
      <c r="B71" s="192">
        <v>1.1163000000000001</v>
      </c>
    </row>
    <row r="72" spans="1:2" x14ac:dyDescent="0.3">
      <c r="A72" s="190">
        <v>42454</v>
      </c>
      <c r="B72" s="192">
        <v>1.1164000000000001</v>
      </c>
    </row>
    <row r="73" spans="1:2" x14ac:dyDescent="0.3">
      <c r="A73" s="190">
        <v>42457</v>
      </c>
      <c r="B73" s="192">
        <v>1.121</v>
      </c>
    </row>
    <row r="74" spans="1:2" x14ac:dyDescent="0.3">
      <c r="A74" s="190">
        <v>42458</v>
      </c>
      <c r="B74" s="192">
        <v>1.1204000000000001</v>
      </c>
    </row>
    <row r="75" spans="1:2" x14ac:dyDescent="0.3">
      <c r="A75" s="190">
        <v>42459</v>
      </c>
      <c r="B75" s="192">
        <v>1.133</v>
      </c>
    </row>
    <row r="76" spans="1:2" x14ac:dyDescent="0.3">
      <c r="A76" s="190">
        <v>42460</v>
      </c>
      <c r="B76" s="192">
        <v>1.139</v>
      </c>
    </row>
    <row r="77" spans="1:2" x14ac:dyDescent="0.3">
      <c r="A77" s="190">
        <v>42461</v>
      </c>
      <c r="B77" s="192">
        <v>1.1385000000000001</v>
      </c>
    </row>
    <row r="78" spans="1:2" x14ac:dyDescent="0.3">
      <c r="A78" s="190">
        <v>42464</v>
      </c>
      <c r="B78" s="192">
        <v>1.1386000000000001</v>
      </c>
    </row>
    <row r="79" spans="1:2" x14ac:dyDescent="0.3">
      <c r="A79" s="190">
        <v>42465</v>
      </c>
      <c r="B79" s="192">
        <v>1.1374</v>
      </c>
    </row>
    <row r="80" spans="1:2" x14ac:dyDescent="0.3">
      <c r="A80" s="190">
        <v>42466</v>
      </c>
      <c r="B80" s="192">
        <v>1.143</v>
      </c>
    </row>
    <row r="81" spans="1:2" x14ac:dyDescent="0.3">
      <c r="A81" s="190">
        <v>42467</v>
      </c>
      <c r="B81" s="192">
        <v>1.1386000000000001</v>
      </c>
    </row>
    <row r="82" spans="1:2" x14ac:dyDescent="0.3">
      <c r="A82" s="190">
        <v>42468</v>
      </c>
      <c r="B82" s="192">
        <v>1.1406000000000001</v>
      </c>
    </row>
    <row r="83" spans="1:2" x14ac:dyDescent="0.3">
      <c r="A83" s="190">
        <v>42471</v>
      </c>
      <c r="B83" s="192">
        <v>1.1412</v>
      </c>
    </row>
    <row r="84" spans="1:2" x14ac:dyDescent="0.3">
      <c r="A84" s="190">
        <v>42472</v>
      </c>
      <c r="B84" s="192">
        <v>1.1395</v>
      </c>
    </row>
    <row r="85" spans="1:2" x14ac:dyDescent="0.3">
      <c r="A85" s="190">
        <v>42473</v>
      </c>
      <c r="B85" s="192">
        <v>1.1281000000000001</v>
      </c>
    </row>
    <row r="86" spans="1:2" x14ac:dyDescent="0.3">
      <c r="A86" s="190">
        <v>42474</v>
      </c>
      <c r="B86" s="192">
        <v>1.1262000000000001</v>
      </c>
    </row>
    <row r="87" spans="1:2" x14ac:dyDescent="0.3">
      <c r="A87" s="190">
        <v>42475</v>
      </c>
      <c r="B87" s="192">
        <v>1.1294999999999999</v>
      </c>
    </row>
    <row r="88" spans="1:2" x14ac:dyDescent="0.3">
      <c r="A88" s="190">
        <v>42478</v>
      </c>
      <c r="B88" s="192">
        <v>1.1322000000000001</v>
      </c>
    </row>
    <row r="89" spans="1:2" x14ac:dyDescent="0.3">
      <c r="A89" s="190">
        <v>42479</v>
      </c>
      <c r="B89" s="192">
        <v>1.1375</v>
      </c>
    </row>
    <row r="90" spans="1:2" x14ac:dyDescent="0.3">
      <c r="A90" s="190">
        <v>42480</v>
      </c>
      <c r="B90" s="192">
        <v>1.133</v>
      </c>
    </row>
    <row r="91" spans="1:2" x14ac:dyDescent="0.3">
      <c r="A91" s="190">
        <v>42481</v>
      </c>
      <c r="B91" s="192">
        <v>1.1301000000000001</v>
      </c>
    </row>
    <row r="92" spans="1:2" x14ac:dyDescent="0.3">
      <c r="A92" s="190">
        <v>42482</v>
      </c>
      <c r="B92" s="192">
        <v>1.1238999999999999</v>
      </c>
    </row>
    <row r="93" spans="1:2" x14ac:dyDescent="0.3">
      <c r="A93" s="190">
        <v>42485</v>
      </c>
      <c r="B93" s="192">
        <v>1.1274</v>
      </c>
    </row>
    <row r="94" spans="1:2" x14ac:dyDescent="0.3">
      <c r="A94" s="190">
        <v>42486</v>
      </c>
      <c r="B94" s="192">
        <v>1.1317999999999999</v>
      </c>
    </row>
    <row r="95" spans="1:2" x14ac:dyDescent="0.3">
      <c r="A95" s="190">
        <v>42487</v>
      </c>
      <c r="B95" s="192">
        <v>1.1322000000000001</v>
      </c>
    </row>
    <row r="96" spans="1:2" x14ac:dyDescent="0.3">
      <c r="A96" s="190">
        <v>42488</v>
      </c>
      <c r="B96" s="192">
        <v>1.1325000000000001</v>
      </c>
    </row>
    <row r="97" spans="1:2" x14ac:dyDescent="0.3">
      <c r="A97" s="190">
        <v>42489</v>
      </c>
      <c r="B97" s="192">
        <v>1.1440999999999999</v>
      </c>
    </row>
    <row r="98" spans="1:2" x14ac:dyDescent="0.3">
      <c r="A98" s="190">
        <v>42492</v>
      </c>
      <c r="B98" s="192">
        <v>1.1516</v>
      </c>
    </row>
    <row r="99" spans="1:2" x14ac:dyDescent="0.3">
      <c r="A99" s="190">
        <v>42493</v>
      </c>
      <c r="B99" s="192">
        <v>1.1508</v>
      </c>
    </row>
    <row r="100" spans="1:2" x14ac:dyDescent="0.3">
      <c r="A100" s="190">
        <v>42494</v>
      </c>
      <c r="B100" s="192">
        <v>1.1486000000000001</v>
      </c>
    </row>
    <row r="101" spans="1:2" x14ac:dyDescent="0.3">
      <c r="A101" s="190">
        <v>42495</v>
      </c>
      <c r="B101" s="192">
        <v>1.1404000000000001</v>
      </c>
    </row>
    <row r="102" spans="1:2" x14ac:dyDescent="0.3">
      <c r="A102" s="190">
        <v>42496</v>
      </c>
      <c r="B102" s="192">
        <v>1.1420999999999999</v>
      </c>
    </row>
    <row r="103" spans="1:2" x14ac:dyDescent="0.3">
      <c r="A103" s="190">
        <v>42499</v>
      </c>
      <c r="B103" s="192">
        <v>1.1402000000000001</v>
      </c>
    </row>
    <row r="104" spans="1:2" x14ac:dyDescent="0.3">
      <c r="A104" s="190">
        <v>42500</v>
      </c>
      <c r="B104" s="192">
        <v>1.1386000000000001</v>
      </c>
    </row>
    <row r="105" spans="1:2" x14ac:dyDescent="0.3">
      <c r="A105" s="190">
        <v>42501</v>
      </c>
      <c r="B105" s="192">
        <v>1.1444000000000001</v>
      </c>
    </row>
    <row r="106" spans="1:2" x14ac:dyDescent="0.3">
      <c r="A106" s="190">
        <v>42502</v>
      </c>
      <c r="B106" s="192">
        <v>1.1379999999999999</v>
      </c>
    </row>
    <row r="107" spans="1:2" x14ac:dyDescent="0.3">
      <c r="A107" s="190">
        <v>42503</v>
      </c>
      <c r="B107" s="192">
        <v>1.1294</v>
      </c>
    </row>
    <row r="108" spans="1:2" x14ac:dyDescent="0.3">
      <c r="A108" s="190">
        <v>42506</v>
      </c>
      <c r="B108" s="192">
        <v>1.1328</v>
      </c>
    </row>
    <row r="109" spans="1:2" x14ac:dyDescent="0.3">
      <c r="A109" s="190">
        <v>42507</v>
      </c>
      <c r="B109" s="192">
        <v>1.1336999999999999</v>
      </c>
    </row>
    <row r="110" spans="1:2" x14ac:dyDescent="0.3">
      <c r="A110" s="190">
        <v>42508</v>
      </c>
      <c r="B110" s="192">
        <v>1.1275999999999999</v>
      </c>
    </row>
    <row r="111" spans="1:2" x14ac:dyDescent="0.3">
      <c r="A111" s="190">
        <v>42509</v>
      </c>
      <c r="B111" s="192">
        <v>1.1214</v>
      </c>
    </row>
    <row r="112" spans="1:2" x14ac:dyDescent="0.3">
      <c r="A112" s="190">
        <v>42510</v>
      </c>
      <c r="B112" s="192">
        <v>1.1207</v>
      </c>
    </row>
    <row r="113" spans="1:2" x14ac:dyDescent="0.3">
      <c r="A113" s="190">
        <v>42513</v>
      </c>
      <c r="B113" s="192">
        <v>1.1192</v>
      </c>
    </row>
    <row r="114" spans="1:2" x14ac:dyDescent="0.3">
      <c r="A114" s="190">
        <v>42514</v>
      </c>
      <c r="B114" s="192">
        <v>1.1145</v>
      </c>
    </row>
    <row r="115" spans="1:2" x14ac:dyDescent="0.3">
      <c r="A115" s="190">
        <v>42515</v>
      </c>
      <c r="B115" s="192">
        <v>1.1153999999999999</v>
      </c>
    </row>
    <row r="116" spans="1:2" x14ac:dyDescent="0.3">
      <c r="A116" s="190">
        <v>42516</v>
      </c>
      <c r="B116" s="192">
        <v>1.1184000000000001</v>
      </c>
    </row>
    <row r="117" spans="1:2" x14ac:dyDescent="0.3">
      <c r="A117" s="190">
        <v>42517</v>
      </c>
      <c r="B117" s="192">
        <v>1.1140000000000001</v>
      </c>
    </row>
    <row r="118" spans="1:2" x14ac:dyDescent="0.3">
      <c r="A118" s="190">
        <v>42520</v>
      </c>
      <c r="B118" s="191">
        <v>0</v>
      </c>
    </row>
    <row r="119" spans="1:2" x14ac:dyDescent="0.3">
      <c r="A119" s="190">
        <v>42521</v>
      </c>
      <c r="B119" s="192">
        <v>1.1134999999999999</v>
      </c>
    </row>
    <row r="120" spans="1:2" x14ac:dyDescent="0.3">
      <c r="A120" s="190">
        <v>42522</v>
      </c>
      <c r="B120" s="192">
        <v>1.1165</v>
      </c>
    </row>
    <row r="121" spans="1:2" x14ac:dyDescent="0.3">
      <c r="A121" s="190">
        <v>42523</v>
      </c>
      <c r="B121" s="192">
        <v>1.1156999999999999</v>
      </c>
    </row>
    <row r="122" spans="1:2" x14ac:dyDescent="0.3">
      <c r="A122" s="190">
        <v>42524</v>
      </c>
      <c r="B122" s="192">
        <v>1.133</v>
      </c>
    </row>
    <row r="123" spans="1:2" x14ac:dyDescent="0.3">
      <c r="A123" s="190">
        <v>42527</v>
      </c>
      <c r="B123" s="192">
        <v>1.1354</v>
      </c>
    </row>
    <row r="124" spans="1:2" x14ac:dyDescent="0.3">
      <c r="A124" s="190">
        <v>42528</v>
      </c>
      <c r="B124" s="192">
        <v>1.135</v>
      </c>
    </row>
    <row r="125" spans="1:2" x14ac:dyDescent="0.3">
      <c r="A125" s="190">
        <v>42529</v>
      </c>
      <c r="B125" s="192">
        <v>1.1399999999999999</v>
      </c>
    </row>
    <row r="126" spans="1:2" x14ac:dyDescent="0.3">
      <c r="A126" s="190">
        <v>42530</v>
      </c>
      <c r="B126" s="192">
        <v>1.1329</v>
      </c>
    </row>
    <row r="127" spans="1:2" x14ac:dyDescent="0.3">
      <c r="A127" s="190">
        <v>42531</v>
      </c>
      <c r="B127" s="192">
        <v>1.1281000000000001</v>
      </c>
    </row>
    <row r="128" spans="1:2" x14ac:dyDescent="0.3">
      <c r="A128" s="190">
        <v>42534</v>
      </c>
      <c r="B128" s="192">
        <v>1.1282000000000001</v>
      </c>
    </row>
    <row r="129" spans="1:2" x14ac:dyDescent="0.3">
      <c r="A129" s="190">
        <v>42535</v>
      </c>
      <c r="B129" s="192">
        <v>1.1206</v>
      </c>
    </row>
    <row r="130" spans="1:2" x14ac:dyDescent="0.3">
      <c r="A130" s="190">
        <v>42536</v>
      </c>
      <c r="B130" s="192">
        <v>1.1238999999999999</v>
      </c>
    </row>
    <row r="131" spans="1:2" x14ac:dyDescent="0.3">
      <c r="A131" s="190">
        <v>42537</v>
      </c>
      <c r="B131" s="192">
        <v>1.1157999999999999</v>
      </c>
    </row>
    <row r="132" spans="1:2" x14ac:dyDescent="0.3">
      <c r="A132" s="190">
        <v>42538</v>
      </c>
      <c r="B132" s="192">
        <v>1.1255999999999999</v>
      </c>
    </row>
    <row r="133" spans="1:2" x14ac:dyDescent="0.3">
      <c r="A133" s="190">
        <v>42541</v>
      </c>
      <c r="B133" s="192">
        <v>1.1317999999999999</v>
      </c>
    </row>
    <row r="134" spans="1:2" x14ac:dyDescent="0.3">
      <c r="A134" s="190">
        <v>42542</v>
      </c>
      <c r="B134" s="192">
        <v>1.1262000000000001</v>
      </c>
    </row>
    <row r="135" spans="1:2" x14ac:dyDescent="0.3">
      <c r="A135" s="190">
        <v>42543</v>
      </c>
      <c r="B135" s="192">
        <v>1.1286</v>
      </c>
    </row>
    <row r="136" spans="1:2" x14ac:dyDescent="0.3">
      <c r="A136" s="190">
        <v>42544</v>
      </c>
      <c r="B136" s="192">
        <v>1.1373</v>
      </c>
    </row>
    <row r="137" spans="1:2" x14ac:dyDescent="0.3">
      <c r="A137" s="190">
        <v>42545</v>
      </c>
      <c r="B137" s="192">
        <v>1.1126</v>
      </c>
    </row>
    <row r="138" spans="1:2" x14ac:dyDescent="0.3">
      <c r="A138" s="190">
        <v>42548</v>
      </c>
      <c r="B138" s="192">
        <v>1.1024</v>
      </c>
    </row>
    <row r="139" spans="1:2" x14ac:dyDescent="0.3">
      <c r="A139" s="190">
        <v>42549</v>
      </c>
      <c r="B139" s="192">
        <v>1.1053999999999999</v>
      </c>
    </row>
    <row r="140" spans="1:2" x14ac:dyDescent="0.3">
      <c r="A140" s="190">
        <v>42550</v>
      </c>
      <c r="B140" s="192">
        <v>1.1116999999999999</v>
      </c>
    </row>
    <row r="141" spans="1:2" x14ac:dyDescent="0.3">
      <c r="A141" s="190">
        <v>42551</v>
      </c>
      <c r="B141" s="192">
        <v>1.1032</v>
      </c>
    </row>
    <row r="142" spans="1:2" x14ac:dyDescent="0.3">
      <c r="A142" s="190">
        <v>42552</v>
      </c>
      <c r="B142" s="192">
        <v>1.1145</v>
      </c>
    </row>
    <row r="143" spans="1:2" x14ac:dyDescent="0.3">
      <c r="A143" s="190">
        <v>42555</v>
      </c>
      <c r="B143" s="191">
        <v>0</v>
      </c>
    </row>
    <row r="144" spans="1:2" x14ac:dyDescent="0.3">
      <c r="A144" s="190">
        <v>42556</v>
      </c>
      <c r="B144" s="192">
        <v>1.1080000000000001</v>
      </c>
    </row>
    <row r="145" spans="1:2" x14ac:dyDescent="0.3">
      <c r="A145" s="190">
        <v>42557</v>
      </c>
      <c r="B145" s="192">
        <v>1.1076999999999999</v>
      </c>
    </row>
    <row r="146" spans="1:2" x14ac:dyDescent="0.3">
      <c r="A146" s="190">
        <v>42558</v>
      </c>
      <c r="B146" s="192">
        <v>1.1065</v>
      </c>
    </row>
    <row r="147" spans="1:2" x14ac:dyDescent="0.3">
      <c r="A147" s="190">
        <v>42559</v>
      </c>
      <c r="B147" s="192">
        <v>1.1037999999999999</v>
      </c>
    </row>
    <row r="148" spans="1:2" x14ac:dyDescent="0.3">
      <c r="A148" s="190">
        <v>42562</v>
      </c>
      <c r="B148" s="192">
        <v>1.1045</v>
      </c>
    </row>
    <row r="149" spans="1:2" x14ac:dyDescent="0.3">
      <c r="A149" s="190">
        <v>42563</v>
      </c>
      <c r="B149" s="192">
        <v>1.1073999999999999</v>
      </c>
    </row>
    <row r="150" spans="1:2" x14ac:dyDescent="0.3">
      <c r="A150" s="190">
        <v>42564</v>
      </c>
      <c r="B150" s="192">
        <v>1.1112</v>
      </c>
    </row>
    <row r="151" spans="1:2" x14ac:dyDescent="0.3">
      <c r="A151" s="190">
        <v>42565</v>
      </c>
      <c r="B151" s="192">
        <v>1.1109</v>
      </c>
    </row>
    <row r="152" spans="1:2" x14ac:dyDescent="0.3">
      <c r="A152" s="190">
        <v>42566</v>
      </c>
      <c r="B152" s="192">
        <v>1.1059000000000001</v>
      </c>
    </row>
    <row r="153" spans="1:2" x14ac:dyDescent="0.3">
      <c r="A153" s="190">
        <v>42569</v>
      </c>
      <c r="B153" s="192">
        <v>1.1075999999999999</v>
      </c>
    </row>
    <row r="154" spans="1:2" x14ac:dyDescent="0.3">
      <c r="A154" s="190">
        <v>42570</v>
      </c>
      <c r="B154" s="192">
        <v>1.1013999999999999</v>
      </c>
    </row>
    <row r="155" spans="1:2" x14ac:dyDescent="0.3">
      <c r="A155" s="190">
        <v>42571</v>
      </c>
      <c r="B155" s="192">
        <v>1.1007</v>
      </c>
    </row>
    <row r="156" spans="1:2" x14ac:dyDescent="0.3">
      <c r="A156" s="190">
        <v>42572</v>
      </c>
      <c r="B156" s="192">
        <v>1.1015999999999999</v>
      </c>
    </row>
    <row r="157" spans="1:2" x14ac:dyDescent="0.3">
      <c r="A157" s="190">
        <v>42573</v>
      </c>
      <c r="B157" s="192">
        <v>1.0968</v>
      </c>
    </row>
    <row r="158" spans="1:2" x14ac:dyDescent="0.3">
      <c r="A158" s="190">
        <v>42576</v>
      </c>
      <c r="B158" s="192">
        <v>1.0980000000000001</v>
      </c>
    </row>
    <row r="159" spans="1:2" x14ac:dyDescent="0.3">
      <c r="A159" s="190">
        <v>42577</v>
      </c>
      <c r="B159" s="192">
        <v>1.0984</v>
      </c>
    </row>
    <row r="160" spans="1:2" x14ac:dyDescent="0.3">
      <c r="A160" s="190">
        <v>42578</v>
      </c>
      <c r="B160" s="192">
        <v>1.0988</v>
      </c>
    </row>
    <row r="161" spans="1:2" x14ac:dyDescent="0.3">
      <c r="A161" s="190">
        <v>42579</v>
      </c>
      <c r="B161" s="192">
        <v>1.1093999999999999</v>
      </c>
    </row>
    <row r="162" spans="1:2" x14ac:dyDescent="0.3">
      <c r="A162" s="190">
        <v>42580</v>
      </c>
      <c r="B162" s="192">
        <v>1.1168</v>
      </c>
    </row>
    <row r="163" spans="1:2" x14ac:dyDescent="0.3">
      <c r="A163" s="190">
        <v>42583</v>
      </c>
      <c r="B163" s="192">
        <v>1.1175999999999999</v>
      </c>
    </row>
    <row r="164" spans="1:2" x14ac:dyDescent="0.3">
      <c r="A164" s="190">
        <v>42584</v>
      </c>
      <c r="B164" s="192">
        <v>1.1225000000000001</v>
      </c>
    </row>
    <row r="165" spans="1:2" x14ac:dyDescent="0.3">
      <c r="A165" s="190">
        <v>42585</v>
      </c>
      <c r="B165" s="192">
        <v>1.117</v>
      </c>
    </row>
    <row r="166" spans="1:2" x14ac:dyDescent="0.3">
      <c r="A166" s="190">
        <v>42586</v>
      </c>
      <c r="B166" s="192">
        <v>1.1133999999999999</v>
      </c>
    </row>
    <row r="167" spans="1:2" x14ac:dyDescent="0.3">
      <c r="A167" s="190">
        <v>42587</v>
      </c>
      <c r="B167" s="192">
        <v>1.1080000000000001</v>
      </c>
    </row>
    <row r="168" spans="1:2" x14ac:dyDescent="0.3">
      <c r="A168" s="190">
        <v>42590</v>
      </c>
      <c r="B168" s="192">
        <v>1.1077999999999999</v>
      </c>
    </row>
    <row r="169" spans="1:2" x14ac:dyDescent="0.3">
      <c r="A169" s="190">
        <v>42591</v>
      </c>
      <c r="B169" s="192">
        <v>1.111</v>
      </c>
    </row>
    <row r="170" spans="1:2" x14ac:dyDescent="0.3">
      <c r="A170" s="190">
        <v>42592</v>
      </c>
      <c r="B170" s="192">
        <v>1.1171</v>
      </c>
    </row>
    <row r="171" spans="1:2" x14ac:dyDescent="0.3">
      <c r="A171" s="190">
        <v>42593</v>
      </c>
      <c r="B171" s="192">
        <v>1.1168</v>
      </c>
    </row>
    <row r="172" spans="1:2" x14ac:dyDescent="0.3">
      <c r="A172" s="190">
        <v>42594</v>
      </c>
      <c r="B172" s="192">
        <v>1.1172</v>
      </c>
    </row>
    <row r="173" spans="1:2" x14ac:dyDescent="0.3">
      <c r="A173" s="190">
        <v>42597</v>
      </c>
      <c r="B173" s="192">
        <v>1.1198999999999999</v>
      </c>
    </row>
    <row r="174" spans="1:2" x14ac:dyDescent="0.3">
      <c r="A174" s="190">
        <v>42598</v>
      </c>
      <c r="B174" s="192">
        <v>1.1276999999999999</v>
      </c>
    </row>
    <row r="175" spans="1:2" x14ac:dyDescent="0.3">
      <c r="A175" s="190">
        <v>42599</v>
      </c>
      <c r="B175" s="192">
        <v>1.1263000000000001</v>
      </c>
    </row>
    <row r="176" spans="1:2" x14ac:dyDescent="0.3">
      <c r="A176" s="190">
        <v>42600</v>
      </c>
      <c r="B176" s="192">
        <v>1.1334</v>
      </c>
    </row>
    <row r="177" spans="1:2" x14ac:dyDescent="0.3">
      <c r="A177" s="190">
        <v>42601</v>
      </c>
      <c r="B177" s="192">
        <v>1.1326000000000001</v>
      </c>
    </row>
    <row r="178" spans="1:2" x14ac:dyDescent="0.3">
      <c r="A178" s="190">
        <v>42604</v>
      </c>
      <c r="B178" s="192">
        <v>1.1314</v>
      </c>
    </row>
    <row r="179" spans="1:2" x14ac:dyDescent="0.3">
      <c r="A179" s="190">
        <v>42605</v>
      </c>
      <c r="B179" s="192">
        <v>1.1308</v>
      </c>
    </row>
    <row r="180" spans="1:2" x14ac:dyDescent="0.3">
      <c r="A180" s="190">
        <v>42606</v>
      </c>
      <c r="B180" s="192">
        <v>1.1255999999999999</v>
      </c>
    </row>
    <row r="181" spans="1:2" x14ac:dyDescent="0.3">
      <c r="A181" s="190">
        <v>42607</v>
      </c>
      <c r="B181" s="192">
        <v>1.1274</v>
      </c>
    </row>
    <row r="182" spans="1:2" x14ac:dyDescent="0.3">
      <c r="A182" s="190">
        <v>42608</v>
      </c>
      <c r="B182" s="192">
        <v>1.1236999999999999</v>
      </c>
    </row>
    <row r="183" spans="1:2" x14ac:dyDescent="0.3">
      <c r="A183" s="190">
        <v>42611</v>
      </c>
      <c r="B183" s="192">
        <v>1.1182000000000001</v>
      </c>
    </row>
    <row r="184" spans="1:2" x14ac:dyDescent="0.3">
      <c r="A184" s="190">
        <v>42612</v>
      </c>
      <c r="B184" s="192">
        <v>1.115</v>
      </c>
    </row>
    <row r="185" spans="1:2" x14ac:dyDescent="0.3">
      <c r="A185" s="190">
        <v>42613</v>
      </c>
      <c r="B185" s="192">
        <v>1.1146</v>
      </c>
    </row>
    <row r="186" spans="1:2" x14ac:dyDescent="0.3">
      <c r="A186" s="190">
        <v>42614</v>
      </c>
      <c r="B186" s="192">
        <v>1.1194</v>
      </c>
    </row>
    <row r="187" spans="1:2" x14ac:dyDescent="0.3">
      <c r="A187" s="190">
        <v>42615</v>
      </c>
      <c r="B187" s="192">
        <v>1.1157999999999999</v>
      </c>
    </row>
    <row r="188" spans="1:2" x14ac:dyDescent="0.3">
      <c r="A188" s="190">
        <v>42618</v>
      </c>
      <c r="B188" s="191">
        <v>0</v>
      </c>
    </row>
    <row r="189" spans="1:2" x14ac:dyDescent="0.3">
      <c r="A189" s="190">
        <v>42619</v>
      </c>
      <c r="B189" s="192">
        <v>1.1236999999999999</v>
      </c>
    </row>
    <row r="190" spans="1:2" x14ac:dyDescent="0.3">
      <c r="A190" s="190">
        <v>42620</v>
      </c>
      <c r="B190" s="192">
        <v>1.1237999999999999</v>
      </c>
    </row>
    <row r="191" spans="1:2" x14ac:dyDescent="0.3">
      <c r="A191" s="190">
        <v>42621</v>
      </c>
      <c r="B191" s="192">
        <v>1.1255999999999999</v>
      </c>
    </row>
    <row r="192" spans="1:2" x14ac:dyDescent="0.3">
      <c r="A192" s="190">
        <v>42622</v>
      </c>
      <c r="B192" s="192">
        <v>1.1214</v>
      </c>
    </row>
    <row r="193" spans="1:2" x14ac:dyDescent="0.3">
      <c r="A193" s="190">
        <v>42625</v>
      </c>
      <c r="B193" s="192">
        <v>1.123</v>
      </c>
    </row>
    <row r="194" spans="1:2" x14ac:dyDescent="0.3">
      <c r="A194" s="190">
        <v>42626</v>
      </c>
      <c r="B194" s="192">
        <v>1.1242000000000001</v>
      </c>
    </row>
    <row r="195" spans="1:2" x14ac:dyDescent="0.3">
      <c r="A195" s="190">
        <v>42627</v>
      </c>
      <c r="B195" s="192">
        <v>1.1271</v>
      </c>
    </row>
    <row r="196" spans="1:2" x14ac:dyDescent="0.3">
      <c r="A196" s="190">
        <v>42628</v>
      </c>
      <c r="B196" s="192">
        <v>1.1246</v>
      </c>
    </row>
    <row r="197" spans="1:2" x14ac:dyDescent="0.3">
      <c r="A197" s="190">
        <v>42629</v>
      </c>
      <c r="B197" s="192">
        <v>1.1160000000000001</v>
      </c>
    </row>
    <row r="198" spans="1:2" x14ac:dyDescent="0.3">
      <c r="A198" s="190">
        <v>42632</v>
      </c>
      <c r="B198" s="192">
        <v>1.1178999999999999</v>
      </c>
    </row>
    <row r="199" spans="1:2" x14ac:dyDescent="0.3">
      <c r="A199" s="190">
        <v>42633</v>
      </c>
      <c r="B199" s="192">
        <v>1.1172</v>
      </c>
    </row>
    <row r="200" spans="1:2" x14ac:dyDescent="0.3">
      <c r="A200" s="190">
        <v>42634</v>
      </c>
      <c r="B200" s="192">
        <v>1.1165</v>
      </c>
    </row>
    <row r="201" spans="1:2" x14ac:dyDescent="0.3">
      <c r="A201" s="190">
        <v>42635</v>
      </c>
      <c r="B201" s="192">
        <v>1.1229</v>
      </c>
    </row>
    <row r="202" spans="1:2" x14ac:dyDescent="0.3">
      <c r="A202" s="190">
        <v>42636</v>
      </c>
      <c r="B202" s="192">
        <v>1.1223000000000001</v>
      </c>
    </row>
    <row r="203" spans="1:2" x14ac:dyDescent="0.3">
      <c r="A203" s="190">
        <v>42639</v>
      </c>
      <c r="B203" s="192">
        <v>1.127</v>
      </c>
    </row>
    <row r="204" spans="1:2" x14ac:dyDescent="0.3">
      <c r="A204" s="190">
        <v>42640</v>
      </c>
      <c r="B204" s="192">
        <v>1.1208</v>
      </c>
    </row>
    <row r="205" spans="1:2" x14ac:dyDescent="0.3">
      <c r="A205" s="190">
        <v>42641</v>
      </c>
      <c r="B205" s="192">
        <v>1.1200000000000001</v>
      </c>
    </row>
    <row r="206" spans="1:2" x14ac:dyDescent="0.3">
      <c r="A206" s="190">
        <v>42642</v>
      </c>
      <c r="B206" s="192">
        <v>1.1244000000000001</v>
      </c>
    </row>
    <row r="207" spans="1:2" x14ac:dyDescent="0.3">
      <c r="A207" s="190">
        <v>42643</v>
      </c>
      <c r="B207" s="192">
        <v>1.1237999999999999</v>
      </c>
    </row>
    <row r="208" spans="1:2" x14ac:dyDescent="0.3">
      <c r="A208" s="190">
        <v>42646</v>
      </c>
      <c r="B208" s="192">
        <v>1.121</v>
      </c>
    </row>
    <row r="209" spans="1:2" x14ac:dyDescent="0.3">
      <c r="A209" s="190">
        <v>42647</v>
      </c>
      <c r="B209" s="192">
        <v>1.1212</v>
      </c>
    </row>
    <row r="210" spans="1:2" x14ac:dyDescent="0.3">
      <c r="A210" s="190">
        <v>42648</v>
      </c>
      <c r="B210" s="192">
        <v>1.1195999999999999</v>
      </c>
    </row>
    <row r="211" spans="1:2" x14ac:dyDescent="0.3">
      <c r="A211" s="190">
        <v>42649</v>
      </c>
      <c r="B211" s="192">
        <v>1.1157999999999999</v>
      </c>
    </row>
    <row r="212" spans="1:2" x14ac:dyDescent="0.3">
      <c r="A212" s="190">
        <v>42650</v>
      </c>
      <c r="B212" s="192">
        <v>1.1155999999999999</v>
      </c>
    </row>
    <row r="213" spans="1:2" x14ac:dyDescent="0.3">
      <c r="A213" s="190">
        <v>42653</v>
      </c>
      <c r="B213" s="191">
        <v>0</v>
      </c>
    </row>
    <row r="214" spans="1:2" x14ac:dyDescent="0.3">
      <c r="A214" s="190">
        <v>42654</v>
      </c>
      <c r="B214" s="192">
        <v>1.1062000000000001</v>
      </c>
    </row>
    <row r="215" spans="1:2" x14ac:dyDescent="0.3">
      <c r="A215" s="190">
        <v>42655</v>
      </c>
      <c r="B215" s="192">
        <v>1.1013999999999999</v>
      </c>
    </row>
    <row r="216" spans="1:2" x14ac:dyDescent="0.3">
      <c r="A216" s="190">
        <v>42656</v>
      </c>
      <c r="B216" s="192">
        <v>1.1037999999999999</v>
      </c>
    </row>
    <row r="217" spans="1:2" x14ac:dyDescent="0.3">
      <c r="A217" s="190">
        <v>42657</v>
      </c>
      <c r="B217" s="192">
        <v>1.0985</v>
      </c>
    </row>
    <row r="218" spans="1:2" x14ac:dyDescent="0.3">
      <c r="A218" s="190">
        <v>42660</v>
      </c>
      <c r="B218" s="192">
        <v>1.1000000000000001</v>
      </c>
    </row>
    <row r="219" spans="1:2" x14ac:dyDescent="0.3">
      <c r="A219" s="190">
        <v>42661</v>
      </c>
      <c r="B219" s="192">
        <v>1.0996999999999999</v>
      </c>
    </row>
    <row r="220" spans="1:2" x14ac:dyDescent="0.3">
      <c r="A220" s="190">
        <v>42662</v>
      </c>
      <c r="B220" s="192">
        <v>1.0966</v>
      </c>
    </row>
    <row r="221" spans="1:2" x14ac:dyDescent="0.3">
      <c r="A221" s="190">
        <v>42663</v>
      </c>
      <c r="B221" s="192">
        <v>1.0933999999999999</v>
      </c>
    </row>
    <row r="222" spans="1:2" x14ac:dyDescent="0.3">
      <c r="A222" s="190">
        <v>42664</v>
      </c>
      <c r="B222" s="192">
        <v>1.0866</v>
      </c>
    </row>
    <row r="223" spans="1:2" x14ac:dyDescent="0.3">
      <c r="A223" s="190">
        <v>42667</v>
      </c>
      <c r="B223" s="192">
        <v>1.0888</v>
      </c>
    </row>
    <row r="224" spans="1:2" x14ac:dyDescent="0.3">
      <c r="A224" s="190">
        <v>42668</v>
      </c>
      <c r="B224" s="192">
        <v>1.089</v>
      </c>
    </row>
    <row r="225" spans="1:2" x14ac:dyDescent="0.3">
      <c r="A225" s="190">
        <v>42669</v>
      </c>
      <c r="B225" s="192">
        <v>1.0915999999999999</v>
      </c>
    </row>
    <row r="226" spans="1:2" x14ac:dyDescent="0.3">
      <c r="A226" s="190">
        <v>42670</v>
      </c>
      <c r="B226" s="192">
        <v>1.0904</v>
      </c>
    </row>
    <row r="227" spans="1:2" x14ac:dyDescent="0.3">
      <c r="A227" s="190">
        <v>42671</v>
      </c>
      <c r="B227" s="192">
        <v>1.0933999999999999</v>
      </c>
    </row>
    <row r="228" spans="1:2" x14ac:dyDescent="0.3">
      <c r="A228" s="190">
        <v>42674</v>
      </c>
      <c r="B228" s="192">
        <v>1.0962000000000001</v>
      </c>
    </row>
    <row r="229" spans="1:2" x14ac:dyDescent="0.3">
      <c r="A229" s="190">
        <v>42675</v>
      </c>
      <c r="B229" s="192">
        <v>1.1042000000000001</v>
      </c>
    </row>
    <row r="230" spans="1:2" x14ac:dyDescent="0.3">
      <c r="A230" s="190">
        <v>42676</v>
      </c>
      <c r="B230" s="192">
        <v>1.1119000000000001</v>
      </c>
    </row>
    <row r="231" spans="1:2" x14ac:dyDescent="0.3">
      <c r="A231" s="190">
        <v>42677</v>
      </c>
      <c r="B231" s="192">
        <v>1.1093999999999999</v>
      </c>
    </row>
    <row r="232" spans="1:2" x14ac:dyDescent="0.3">
      <c r="A232" s="190">
        <v>42678</v>
      </c>
      <c r="B232" s="192">
        <v>1.1121000000000001</v>
      </c>
    </row>
    <row r="233" spans="1:2" x14ac:dyDescent="0.3">
      <c r="A233" s="190">
        <v>42681</v>
      </c>
      <c r="B233" s="192">
        <v>1.1037999999999999</v>
      </c>
    </row>
    <row r="234" spans="1:2" x14ac:dyDescent="0.3">
      <c r="A234" s="190">
        <v>42682</v>
      </c>
      <c r="B234" s="192">
        <v>1.1033999999999999</v>
      </c>
    </row>
    <row r="235" spans="1:2" x14ac:dyDescent="0.3">
      <c r="A235" s="190">
        <v>42683</v>
      </c>
      <c r="B235" s="192">
        <v>1.0952</v>
      </c>
    </row>
    <row r="236" spans="1:2" x14ac:dyDescent="0.3">
      <c r="A236" s="190">
        <v>42684</v>
      </c>
      <c r="B236" s="192">
        <v>1.0882000000000001</v>
      </c>
    </row>
    <row r="237" spans="1:2" x14ac:dyDescent="0.3">
      <c r="A237" s="190">
        <v>42685</v>
      </c>
      <c r="B237" s="191">
        <v>0</v>
      </c>
    </row>
    <row r="238" spans="1:2" x14ac:dyDescent="0.3">
      <c r="A238" s="190">
        <v>42688</v>
      </c>
      <c r="B238" s="192">
        <v>1.0723</v>
      </c>
    </row>
    <row r="239" spans="1:2" x14ac:dyDescent="0.3">
      <c r="A239" s="190">
        <v>42689</v>
      </c>
      <c r="B239" s="192">
        <v>1.0726</v>
      </c>
    </row>
    <row r="240" spans="1:2" x14ac:dyDescent="0.3">
      <c r="A240" s="190">
        <v>42690</v>
      </c>
      <c r="B240" s="192">
        <v>1.0699000000000001</v>
      </c>
    </row>
    <row r="241" spans="1:2" x14ac:dyDescent="0.3">
      <c r="A241" s="190">
        <v>42691</v>
      </c>
      <c r="B241" s="192">
        <v>1.0656000000000001</v>
      </c>
    </row>
    <row r="242" spans="1:2" x14ac:dyDescent="0.3">
      <c r="A242" s="190">
        <v>42692</v>
      </c>
      <c r="B242" s="192">
        <v>1.06</v>
      </c>
    </row>
    <row r="243" spans="1:2" x14ac:dyDescent="0.3">
      <c r="A243" s="190">
        <v>42695</v>
      </c>
      <c r="B243" s="192">
        <v>1.0597000000000001</v>
      </c>
    </row>
    <row r="244" spans="1:2" x14ac:dyDescent="0.3">
      <c r="A244" s="190">
        <v>42696</v>
      </c>
      <c r="B244" s="192">
        <v>1.0618000000000001</v>
      </c>
    </row>
    <row r="245" spans="1:2" x14ac:dyDescent="0.3">
      <c r="A245" s="190">
        <v>42697</v>
      </c>
      <c r="B245" s="192">
        <v>1.056</v>
      </c>
    </row>
    <row r="246" spans="1:2" x14ac:dyDescent="0.3">
      <c r="A246" s="190">
        <v>42698</v>
      </c>
      <c r="B246" s="191">
        <v>0</v>
      </c>
    </row>
    <row r="247" spans="1:2" x14ac:dyDescent="0.3">
      <c r="A247" s="190">
        <v>42699</v>
      </c>
      <c r="B247" s="192">
        <v>1.0595000000000001</v>
      </c>
    </row>
    <row r="248" spans="1:2" x14ac:dyDescent="0.3">
      <c r="A248" s="190">
        <v>42702</v>
      </c>
      <c r="B248" s="192">
        <v>1.0576000000000001</v>
      </c>
    </row>
    <row r="249" spans="1:2" x14ac:dyDescent="0.3">
      <c r="A249" s="190">
        <v>42703</v>
      </c>
      <c r="B249" s="192">
        <v>1.0626</v>
      </c>
    </row>
    <row r="250" spans="1:2" x14ac:dyDescent="0.3">
      <c r="A250" s="190">
        <v>42704</v>
      </c>
      <c r="B250" s="192">
        <v>1.0578000000000001</v>
      </c>
    </row>
    <row r="251" spans="1:2" x14ac:dyDescent="0.3">
      <c r="A251" s="190">
        <v>42705</v>
      </c>
      <c r="B251" s="192">
        <v>1.0633999999999999</v>
      </c>
    </row>
    <row r="252" spans="1:2" x14ac:dyDescent="0.3">
      <c r="A252" s="190">
        <v>42706</v>
      </c>
      <c r="B252" s="192">
        <v>1.0666</v>
      </c>
    </row>
    <row r="253" spans="1:2" x14ac:dyDescent="0.3">
      <c r="A253" s="190">
        <v>42709</v>
      </c>
      <c r="B253" s="192">
        <v>1.0723</v>
      </c>
    </row>
    <row r="254" spans="1:2" x14ac:dyDescent="0.3">
      <c r="A254" s="190">
        <v>42710</v>
      </c>
      <c r="B254" s="192">
        <v>1.0717000000000001</v>
      </c>
    </row>
    <row r="255" spans="1:2" x14ac:dyDescent="0.3">
      <c r="A255" s="190">
        <v>42711</v>
      </c>
      <c r="B255" s="192">
        <v>1.0758000000000001</v>
      </c>
    </row>
    <row r="256" spans="1:2" x14ac:dyDescent="0.3">
      <c r="A256" s="190">
        <v>42712</v>
      </c>
      <c r="B256" s="192">
        <v>1.0625</v>
      </c>
    </row>
    <row r="257" spans="1:2" x14ac:dyDescent="0.3">
      <c r="A257" s="190">
        <v>42713</v>
      </c>
      <c r="B257" s="192">
        <v>1.0541</v>
      </c>
    </row>
    <row r="258" spans="1:2" x14ac:dyDescent="0.3">
      <c r="A258" s="190">
        <v>42716</v>
      </c>
      <c r="B258" s="192">
        <v>1.0606</v>
      </c>
    </row>
    <row r="259" spans="1:2" x14ac:dyDescent="0.3">
      <c r="A259" s="190">
        <v>42717</v>
      </c>
      <c r="B259" s="192">
        <v>1.0634999999999999</v>
      </c>
    </row>
    <row r="260" spans="1:2" x14ac:dyDescent="0.3">
      <c r="A260" s="190">
        <v>42718</v>
      </c>
      <c r="B260" s="192">
        <v>1.0656000000000001</v>
      </c>
    </row>
    <row r="261" spans="1:2" x14ac:dyDescent="0.3">
      <c r="A261" s="190">
        <v>42719</v>
      </c>
      <c r="B261" s="192">
        <v>1.0375000000000001</v>
      </c>
    </row>
    <row r="262" spans="1:2" x14ac:dyDescent="0.3">
      <c r="A262" s="190">
        <v>42720</v>
      </c>
      <c r="B262" s="192">
        <v>1.0456000000000001</v>
      </c>
    </row>
    <row r="263" spans="1:2" x14ac:dyDescent="0.3">
      <c r="A263" s="190">
        <v>42723</v>
      </c>
      <c r="B263" s="192">
        <v>1.0444</v>
      </c>
    </row>
    <row r="264" spans="1:2" x14ac:dyDescent="0.3">
      <c r="A264" s="190">
        <v>42724</v>
      </c>
      <c r="B264" s="192">
        <v>1.0389999999999999</v>
      </c>
    </row>
    <row r="265" spans="1:2" x14ac:dyDescent="0.3">
      <c r="A265" s="190">
        <v>42725</v>
      </c>
      <c r="B265" s="192">
        <v>1.0425</v>
      </c>
    </row>
    <row r="266" spans="1:2" x14ac:dyDescent="0.3">
      <c r="A266" s="190">
        <v>42726</v>
      </c>
      <c r="B266" s="192">
        <v>1.0451999999999999</v>
      </c>
    </row>
    <row r="267" spans="1:2" x14ac:dyDescent="0.3">
      <c r="A267" s="190">
        <v>42727</v>
      </c>
      <c r="B267" s="192">
        <v>1.0448999999999999</v>
      </c>
    </row>
    <row r="268" spans="1:2" x14ac:dyDescent="0.3">
      <c r="A268" s="190">
        <v>42730</v>
      </c>
      <c r="B268" s="191">
        <v>0</v>
      </c>
    </row>
    <row r="269" spans="1:2" x14ac:dyDescent="0.3">
      <c r="A269" s="190">
        <v>42731</v>
      </c>
      <c r="B269" s="192">
        <v>1.0458000000000001</v>
      </c>
    </row>
    <row r="270" spans="1:2" x14ac:dyDescent="0.3">
      <c r="A270" s="190">
        <v>42732</v>
      </c>
      <c r="B270" s="192">
        <v>1.0388999999999999</v>
      </c>
    </row>
    <row r="271" spans="1:2" x14ac:dyDescent="0.3">
      <c r="A271" s="190">
        <v>42733</v>
      </c>
      <c r="B271" s="192">
        <v>1.0486</v>
      </c>
    </row>
    <row r="272" spans="1:2" x14ac:dyDescent="0.3">
      <c r="A272" s="190">
        <v>42734</v>
      </c>
      <c r="B272" s="192">
        <v>1.0551999999999999</v>
      </c>
    </row>
    <row r="273" spans="1:2" x14ac:dyDescent="0.3">
      <c r="A273" s="190">
        <v>42737</v>
      </c>
      <c r="B273" s="191">
        <v>0</v>
      </c>
    </row>
    <row r="274" spans="1:2" x14ac:dyDescent="0.3">
      <c r="A274" s="190">
        <v>42738</v>
      </c>
      <c r="B274" s="192">
        <v>1.0416000000000001</v>
      </c>
    </row>
    <row r="275" spans="1:2" x14ac:dyDescent="0.3">
      <c r="A275" s="190">
        <v>42739</v>
      </c>
      <c r="B275" s="192">
        <v>1.0476000000000001</v>
      </c>
    </row>
    <row r="276" spans="1:2" x14ac:dyDescent="0.3">
      <c r="A276" s="190">
        <v>42740</v>
      </c>
      <c r="B276" s="192">
        <v>1.0598000000000001</v>
      </c>
    </row>
    <row r="277" spans="1:2" x14ac:dyDescent="0.3">
      <c r="A277" s="190">
        <v>42741</v>
      </c>
      <c r="B277" s="192">
        <v>1.056</v>
      </c>
    </row>
    <row r="278" spans="1:2" x14ac:dyDescent="0.3">
      <c r="A278" s="190">
        <v>42744</v>
      </c>
      <c r="B278" s="192">
        <v>1.0576000000000001</v>
      </c>
    </row>
    <row r="279" spans="1:2" x14ac:dyDescent="0.3">
      <c r="A279" s="190">
        <v>42745</v>
      </c>
      <c r="B279" s="192">
        <v>1.0571999999999999</v>
      </c>
    </row>
    <row r="280" spans="1:2" x14ac:dyDescent="0.3">
      <c r="A280" s="190">
        <v>42746</v>
      </c>
      <c r="B280" s="192">
        <v>1.0501</v>
      </c>
    </row>
    <row r="281" spans="1:2" x14ac:dyDescent="0.3">
      <c r="A281" s="190">
        <v>42747</v>
      </c>
      <c r="B281" s="192">
        <v>1.0666</v>
      </c>
    </row>
    <row r="282" spans="1:2" x14ac:dyDescent="0.3">
      <c r="A282" s="190">
        <v>42748</v>
      </c>
      <c r="B282" s="192">
        <v>1.0625</v>
      </c>
    </row>
    <row r="283" spans="1:2" x14ac:dyDescent="0.3">
      <c r="A283" s="190">
        <v>42751</v>
      </c>
      <c r="B283" s="191">
        <v>0</v>
      </c>
    </row>
    <row r="284" spans="1:2" x14ac:dyDescent="0.3">
      <c r="A284" s="190">
        <v>42752</v>
      </c>
      <c r="B284" s="192">
        <v>1.0694999999999999</v>
      </c>
    </row>
    <row r="285" spans="1:2" x14ac:dyDescent="0.3">
      <c r="A285" s="190">
        <v>42753</v>
      </c>
      <c r="B285" s="192">
        <v>1.0682</v>
      </c>
    </row>
    <row r="286" spans="1:2" x14ac:dyDescent="0.3">
      <c r="A286" s="190">
        <v>42754</v>
      </c>
      <c r="B286" s="192">
        <v>1.0629999999999999</v>
      </c>
    </row>
    <row r="287" spans="1:2" x14ac:dyDescent="0.3">
      <c r="A287" s="190">
        <v>42755</v>
      </c>
      <c r="B287" s="191">
        <v>0</v>
      </c>
    </row>
    <row r="288" spans="1:2" x14ac:dyDescent="0.3">
      <c r="A288" s="190">
        <v>42758</v>
      </c>
      <c r="B288" s="192">
        <v>1.0740000000000001</v>
      </c>
    </row>
    <row r="289" spans="1:2" x14ac:dyDescent="0.3">
      <c r="A289" s="190">
        <v>42759</v>
      </c>
      <c r="B289" s="192">
        <v>1.0749</v>
      </c>
    </row>
    <row r="290" spans="1:2" x14ac:dyDescent="0.3">
      <c r="A290" s="190">
        <v>42760</v>
      </c>
      <c r="B290" s="192">
        <v>1.0743</v>
      </c>
    </row>
    <row r="291" spans="1:2" x14ac:dyDescent="0.3">
      <c r="A291" s="190">
        <v>42761</v>
      </c>
      <c r="B291" s="192">
        <v>1.0669999999999999</v>
      </c>
    </row>
    <row r="292" spans="1:2" x14ac:dyDescent="0.3">
      <c r="A292" s="190">
        <v>42762</v>
      </c>
      <c r="B292" s="192">
        <v>1.069</v>
      </c>
    </row>
    <row r="293" spans="1:2" x14ac:dyDescent="0.3">
      <c r="A293" s="190">
        <v>42765</v>
      </c>
      <c r="B293" s="192">
        <v>1.0681</v>
      </c>
    </row>
    <row r="294" spans="1:2" x14ac:dyDescent="0.3">
      <c r="A294" s="190">
        <v>42766</v>
      </c>
      <c r="B294" s="192">
        <v>1.0793999999999999</v>
      </c>
    </row>
    <row r="295" spans="1:2" x14ac:dyDescent="0.3">
      <c r="A295" s="190">
        <v>42767</v>
      </c>
      <c r="B295" s="192">
        <v>1.0758000000000001</v>
      </c>
    </row>
    <row r="296" spans="1:2" x14ac:dyDescent="0.3">
      <c r="A296" s="190">
        <v>42768</v>
      </c>
      <c r="B296" s="192">
        <v>1.0802</v>
      </c>
    </row>
    <row r="297" spans="1:2" x14ac:dyDescent="0.3">
      <c r="A297" s="190">
        <v>42769</v>
      </c>
      <c r="B297" s="192">
        <v>1.0791999999999999</v>
      </c>
    </row>
    <row r="298" spans="1:2" x14ac:dyDescent="0.3">
      <c r="A298" s="190">
        <v>42772</v>
      </c>
      <c r="B298" s="192">
        <v>1.0730999999999999</v>
      </c>
    </row>
    <row r="299" spans="1:2" x14ac:dyDescent="0.3">
      <c r="A299" s="190">
        <v>42773</v>
      </c>
      <c r="B299" s="192">
        <v>1.069</v>
      </c>
    </row>
    <row r="300" spans="1:2" x14ac:dyDescent="0.3">
      <c r="A300" s="190">
        <v>42774</v>
      </c>
      <c r="B300" s="192">
        <v>1.0708</v>
      </c>
    </row>
    <row r="301" spans="1:2" x14ac:dyDescent="0.3">
      <c r="A301" s="190">
        <v>42775</v>
      </c>
      <c r="B301" s="192">
        <v>1.0658000000000001</v>
      </c>
    </row>
    <row r="302" spans="1:2" x14ac:dyDescent="0.3">
      <c r="A302" s="190">
        <v>42776</v>
      </c>
      <c r="B302" s="192">
        <v>1.0649999999999999</v>
      </c>
    </row>
    <row r="303" spans="1:2" x14ac:dyDescent="0.3">
      <c r="A303" s="190">
        <v>42779</v>
      </c>
      <c r="B303" s="192">
        <v>1.0603</v>
      </c>
    </row>
    <row r="304" spans="1:2" x14ac:dyDescent="0.3">
      <c r="A304" s="190">
        <v>42780</v>
      </c>
      <c r="B304" s="192">
        <v>1.0577000000000001</v>
      </c>
    </row>
    <row r="305" spans="1:2" x14ac:dyDescent="0.3">
      <c r="A305" s="190">
        <v>42781</v>
      </c>
      <c r="B305" s="192">
        <v>1.0597000000000001</v>
      </c>
    </row>
    <row r="306" spans="1:2" x14ac:dyDescent="0.3">
      <c r="A306" s="190">
        <v>42782</v>
      </c>
      <c r="B306" s="192">
        <v>1.0660000000000001</v>
      </c>
    </row>
    <row r="307" spans="1:2" x14ac:dyDescent="0.3">
      <c r="A307" s="190">
        <v>42783</v>
      </c>
      <c r="B307" s="192">
        <v>1.0613999999999999</v>
      </c>
    </row>
    <row r="308" spans="1:2" x14ac:dyDescent="0.3">
      <c r="A308" s="190">
        <v>42786</v>
      </c>
      <c r="B308" s="191">
        <v>0</v>
      </c>
    </row>
    <row r="309" spans="1:2" x14ac:dyDescent="0.3">
      <c r="A309" s="190">
        <v>42787</v>
      </c>
      <c r="B309" s="192">
        <v>1.0550999999999999</v>
      </c>
    </row>
    <row r="310" spans="1:2" x14ac:dyDescent="0.3">
      <c r="A310" s="190">
        <v>42788</v>
      </c>
      <c r="B310" s="192">
        <v>1.0555000000000001</v>
      </c>
    </row>
    <row r="311" spans="1:2" x14ac:dyDescent="0.3">
      <c r="A311" s="190">
        <v>42789</v>
      </c>
      <c r="B311" s="192">
        <v>1.0586</v>
      </c>
    </row>
    <row r="312" spans="1:2" x14ac:dyDescent="0.3">
      <c r="A312" s="190">
        <v>42790</v>
      </c>
      <c r="B312" s="192">
        <v>1.0580000000000001</v>
      </c>
    </row>
    <row r="313" spans="1:2" x14ac:dyDescent="0.3">
      <c r="A313" s="190">
        <v>42793</v>
      </c>
      <c r="B313" s="192">
        <v>1.0624</v>
      </c>
    </row>
    <row r="314" spans="1:2" x14ac:dyDescent="0.3">
      <c r="A314" s="190">
        <v>42794</v>
      </c>
      <c r="B314" s="192">
        <v>1.0618000000000001</v>
      </c>
    </row>
    <row r="315" spans="1:2" x14ac:dyDescent="0.3">
      <c r="A315" s="190">
        <v>42795</v>
      </c>
      <c r="B315" s="192">
        <v>1.0564</v>
      </c>
    </row>
    <row r="316" spans="1:2" x14ac:dyDescent="0.3">
      <c r="A316" s="190">
        <v>42796</v>
      </c>
      <c r="B316" s="192">
        <v>1.0513999999999999</v>
      </c>
    </row>
    <row r="317" spans="1:2" x14ac:dyDescent="0.3">
      <c r="A317" s="190">
        <v>42797</v>
      </c>
      <c r="B317" s="192">
        <v>1.0551999999999999</v>
      </c>
    </row>
    <row r="318" spans="1:2" x14ac:dyDescent="0.3">
      <c r="A318" s="190">
        <v>42800</v>
      </c>
      <c r="B318" s="192">
        <v>1.0586</v>
      </c>
    </row>
    <row r="319" spans="1:2" x14ac:dyDescent="0.3">
      <c r="A319" s="190">
        <v>42801</v>
      </c>
      <c r="B319" s="192">
        <v>1.0582</v>
      </c>
    </row>
    <row r="320" spans="1:2" x14ac:dyDescent="0.3">
      <c r="A320" s="190">
        <v>42802</v>
      </c>
      <c r="B320" s="192">
        <v>1.0547</v>
      </c>
    </row>
    <row r="321" spans="1:2" x14ac:dyDescent="0.3">
      <c r="A321" s="190">
        <v>42803</v>
      </c>
      <c r="B321" s="192">
        <v>1.0586</v>
      </c>
    </row>
    <row r="322" spans="1:2" x14ac:dyDescent="0.3">
      <c r="A322" s="190">
        <v>42804</v>
      </c>
      <c r="B322" s="192">
        <v>1.0667</v>
      </c>
    </row>
    <row r="323" spans="1:2" x14ac:dyDescent="0.3">
      <c r="A323" s="190">
        <v>42807</v>
      </c>
      <c r="B323" s="192">
        <v>1.0669999999999999</v>
      </c>
    </row>
    <row r="324" spans="1:2" x14ac:dyDescent="0.3">
      <c r="A324" s="190">
        <v>42808</v>
      </c>
      <c r="B324" s="192">
        <v>1.0645</v>
      </c>
    </row>
    <row r="325" spans="1:2" x14ac:dyDescent="0.3">
      <c r="A325" s="190">
        <v>42809</v>
      </c>
      <c r="B325" s="192">
        <v>1.0629999999999999</v>
      </c>
    </row>
    <row r="326" spans="1:2" x14ac:dyDescent="0.3">
      <c r="A326" s="190">
        <v>42810</v>
      </c>
      <c r="B326" s="192">
        <v>1.0738000000000001</v>
      </c>
    </row>
    <row r="327" spans="1:2" x14ac:dyDescent="0.3">
      <c r="A327" s="190">
        <v>42811</v>
      </c>
      <c r="B327" s="192">
        <v>1.0742</v>
      </c>
    </row>
    <row r="328" spans="1:2" x14ac:dyDescent="0.3">
      <c r="A328" s="190">
        <v>42814</v>
      </c>
      <c r="B328" s="192">
        <v>1.0753999999999999</v>
      </c>
    </row>
    <row r="329" spans="1:2" x14ac:dyDescent="0.3">
      <c r="A329" s="190">
        <v>42815</v>
      </c>
      <c r="B329" s="192">
        <v>1.081</v>
      </c>
    </row>
    <row r="330" spans="1:2" x14ac:dyDescent="0.3">
      <c r="A330" s="190">
        <v>42816</v>
      </c>
      <c r="B330" s="192">
        <v>1.08</v>
      </c>
    </row>
    <row r="331" spans="1:2" x14ac:dyDescent="0.3">
      <c r="A331" s="190">
        <v>42817</v>
      </c>
      <c r="B331" s="192">
        <v>1.0787</v>
      </c>
    </row>
    <row r="332" spans="1:2" x14ac:dyDescent="0.3">
      <c r="A332" s="190">
        <v>42818</v>
      </c>
      <c r="B332" s="192">
        <v>1.0806</v>
      </c>
    </row>
    <row r="333" spans="1:2" x14ac:dyDescent="0.3">
      <c r="A333" s="190">
        <v>42821</v>
      </c>
      <c r="B333" s="192">
        <v>1.0882000000000001</v>
      </c>
    </row>
    <row r="334" spans="1:2" x14ac:dyDescent="0.3">
      <c r="A334" s="190">
        <v>42822</v>
      </c>
      <c r="B334" s="192">
        <v>1.0851999999999999</v>
      </c>
    </row>
    <row r="335" spans="1:2" x14ac:dyDescent="0.3">
      <c r="A335" s="190">
        <v>42823</v>
      </c>
      <c r="B335" s="192">
        <v>1.0755999999999999</v>
      </c>
    </row>
    <row r="336" spans="1:2" x14ac:dyDescent="0.3">
      <c r="A336" s="190">
        <v>42824</v>
      </c>
      <c r="B336" s="192">
        <v>1.0726</v>
      </c>
    </row>
    <row r="337" spans="1:2" x14ac:dyDescent="0.3">
      <c r="A337" s="190">
        <v>42825</v>
      </c>
      <c r="B337" s="192">
        <v>1.0698000000000001</v>
      </c>
    </row>
    <row r="338" spans="1:2" x14ac:dyDescent="0.3">
      <c r="A338" s="190">
        <v>42828</v>
      </c>
      <c r="B338" s="192">
        <v>1.0654999999999999</v>
      </c>
    </row>
    <row r="339" spans="1:2" x14ac:dyDescent="0.3">
      <c r="A339" s="190">
        <v>42829</v>
      </c>
      <c r="B339" s="192">
        <v>1.0664</v>
      </c>
    </row>
    <row r="340" spans="1:2" x14ac:dyDescent="0.3">
      <c r="A340" s="190">
        <v>42830</v>
      </c>
      <c r="B340" s="192">
        <v>1.0661</v>
      </c>
    </row>
    <row r="341" spans="1:2" x14ac:dyDescent="0.3">
      <c r="A341" s="190">
        <v>42831</v>
      </c>
      <c r="B341" s="192">
        <v>1.0650999999999999</v>
      </c>
    </row>
    <row r="342" spans="1:2" x14ac:dyDescent="0.3">
      <c r="A342" s="190">
        <v>42832</v>
      </c>
      <c r="B342" s="192">
        <v>1.0616000000000001</v>
      </c>
    </row>
    <row r="343" spans="1:2" x14ac:dyDescent="0.3">
      <c r="A343" s="190">
        <v>42835</v>
      </c>
      <c r="B343" s="192">
        <v>1.0606</v>
      </c>
    </row>
    <row r="344" spans="1:2" x14ac:dyDescent="0.3">
      <c r="A344" s="190">
        <v>42836</v>
      </c>
      <c r="B344" s="192">
        <v>1.0613999999999999</v>
      </c>
    </row>
    <row r="345" spans="1:2" x14ac:dyDescent="0.3">
      <c r="A345" s="190">
        <v>42837</v>
      </c>
      <c r="B345" s="192">
        <v>1.0610999999999999</v>
      </c>
    </row>
    <row r="346" spans="1:2" x14ac:dyDescent="0.3">
      <c r="A346" s="190">
        <v>42838</v>
      </c>
      <c r="B346" s="192">
        <v>1.0629999999999999</v>
      </c>
    </row>
    <row r="347" spans="1:2" x14ac:dyDescent="0.3">
      <c r="A347" s="190">
        <v>42839</v>
      </c>
      <c r="B347" s="192">
        <v>1.0625</v>
      </c>
    </row>
    <row r="348" spans="1:2" x14ac:dyDescent="0.3">
      <c r="A348" s="190">
        <v>42842</v>
      </c>
      <c r="B348" s="192">
        <v>1.0660000000000001</v>
      </c>
    </row>
    <row r="349" spans="1:2" x14ac:dyDescent="0.3">
      <c r="A349" s="190">
        <v>42843</v>
      </c>
      <c r="B349" s="192">
        <v>1.0706</v>
      </c>
    </row>
    <row r="350" spans="1:2" x14ac:dyDescent="0.3">
      <c r="A350" s="190">
        <v>42844</v>
      </c>
      <c r="B350" s="192">
        <v>1.0707</v>
      </c>
    </row>
    <row r="351" spans="1:2" x14ac:dyDescent="0.3">
      <c r="A351" s="190">
        <v>42845</v>
      </c>
      <c r="B351" s="192">
        <v>1.0758000000000001</v>
      </c>
    </row>
    <row r="352" spans="1:2" x14ac:dyDescent="0.3">
      <c r="A352" s="190">
        <v>42846</v>
      </c>
      <c r="B352" s="192">
        <v>1.0693999999999999</v>
      </c>
    </row>
    <row r="353" spans="1:2" x14ac:dyDescent="0.3">
      <c r="A353" s="190">
        <v>42849</v>
      </c>
      <c r="B353" s="192">
        <v>1.0846</v>
      </c>
    </row>
    <row r="354" spans="1:2" x14ac:dyDescent="0.3">
      <c r="A354" s="190">
        <v>42850</v>
      </c>
      <c r="B354" s="192">
        <v>1.0941000000000001</v>
      </c>
    </row>
    <row r="355" spans="1:2" x14ac:dyDescent="0.3">
      <c r="A355" s="190">
        <v>42851</v>
      </c>
      <c r="B355" s="192">
        <v>1.0871999999999999</v>
      </c>
    </row>
    <row r="356" spans="1:2" x14ac:dyDescent="0.3">
      <c r="A356" s="190">
        <v>42852</v>
      </c>
      <c r="B356" s="192">
        <v>1.0864</v>
      </c>
    </row>
    <row r="357" spans="1:2" x14ac:dyDescent="0.3">
      <c r="A357" s="190">
        <v>42853</v>
      </c>
      <c r="B357" s="192">
        <v>1.0894999999999999</v>
      </c>
    </row>
    <row r="358" spans="1:2" x14ac:dyDescent="0.3">
      <c r="A358" s="190">
        <v>42856</v>
      </c>
      <c r="B358" s="192">
        <v>1.0911999999999999</v>
      </c>
    </row>
    <row r="359" spans="1:2" x14ac:dyDescent="0.3">
      <c r="A359" s="190">
        <v>42857</v>
      </c>
      <c r="B359" s="192">
        <v>1.091</v>
      </c>
    </row>
    <row r="360" spans="1:2" x14ac:dyDescent="0.3">
      <c r="A360" s="190">
        <v>42858</v>
      </c>
      <c r="B360" s="192">
        <v>1.0920000000000001</v>
      </c>
    </row>
    <row r="361" spans="1:2" x14ac:dyDescent="0.3">
      <c r="A361" s="190">
        <v>42859</v>
      </c>
      <c r="B361" s="192">
        <v>1.0967</v>
      </c>
    </row>
    <row r="362" spans="1:2" x14ac:dyDescent="0.3">
      <c r="A362" s="190">
        <v>42860</v>
      </c>
      <c r="B362" s="192">
        <v>1.0995999999999999</v>
      </c>
    </row>
    <row r="363" spans="1:2" x14ac:dyDescent="0.3">
      <c r="A363" s="190">
        <v>42863</v>
      </c>
      <c r="B363" s="192">
        <v>1.0928</v>
      </c>
    </row>
    <row r="364" spans="1:2" x14ac:dyDescent="0.3">
      <c r="A364" s="190">
        <v>42864</v>
      </c>
      <c r="B364" s="192">
        <v>1.0874999999999999</v>
      </c>
    </row>
    <row r="365" spans="1:2" x14ac:dyDescent="0.3">
      <c r="A365" s="190">
        <v>42865</v>
      </c>
      <c r="B365" s="192">
        <v>1.0872999999999999</v>
      </c>
    </row>
    <row r="366" spans="1:2" x14ac:dyDescent="0.3">
      <c r="A366" s="190">
        <v>42866</v>
      </c>
      <c r="B366" s="192">
        <v>1.0869</v>
      </c>
    </row>
    <row r="367" spans="1:2" x14ac:dyDescent="0.3">
      <c r="A367" s="190">
        <v>42867</v>
      </c>
      <c r="B367" s="192">
        <v>1.0926</v>
      </c>
    </row>
    <row r="368" spans="1:2" x14ac:dyDescent="0.3">
      <c r="A368" s="190">
        <v>42870</v>
      </c>
      <c r="B368" s="192">
        <v>1.0979000000000001</v>
      </c>
    </row>
    <row r="369" spans="1:2" x14ac:dyDescent="0.3">
      <c r="A369" s="190">
        <v>42871</v>
      </c>
      <c r="B369" s="192">
        <v>1.1072</v>
      </c>
    </row>
    <row r="370" spans="1:2" x14ac:dyDescent="0.3">
      <c r="A370" s="190">
        <v>42872</v>
      </c>
      <c r="B370" s="192">
        <v>1.1133999999999999</v>
      </c>
    </row>
    <row r="371" spans="1:2" x14ac:dyDescent="0.3">
      <c r="A371" s="190">
        <v>42873</v>
      </c>
      <c r="B371" s="192">
        <v>1.113</v>
      </c>
    </row>
    <row r="372" spans="1:2" x14ac:dyDescent="0.3">
      <c r="A372" s="190">
        <v>42874</v>
      </c>
      <c r="B372" s="192">
        <v>1.119</v>
      </c>
    </row>
    <row r="373" spans="1:2" x14ac:dyDescent="0.3">
      <c r="A373" s="190">
        <v>42877</v>
      </c>
      <c r="B373" s="192">
        <v>1.1235999999999999</v>
      </c>
    </row>
    <row r="374" spans="1:2" x14ac:dyDescent="0.3">
      <c r="A374" s="190">
        <v>42878</v>
      </c>
      <c r="B374" s="192">
        <v>1.1197999999999999</v>
      </c>
    </row>
    <row r="375" spans="1:2" x14ac:dyDescent="0.3">
      <c r="A375" s="190">
        <v>42879</v>
      </c>
      <c r="B375" s="192">
        <v>1.1174999999999999</v>
      </c>
    </row>
    <row r="376" spans="1:2" x14ac:dyDescent="0.3">
      <c r="A376" s="190">
        <v>42880</v>
      </c>
      <c r="B376" s="192">
        <v>1.1217999999999999</v>
      </c>
    </row>
    <row r="377" spans="1:2" x14ac:dyDescent="0.3">
      <c r="A377" s="190">
        <v>42881</v>
      </c>
      <c r="B377" s="192">
        <v>1.117</v>
      </c>
    </row>
    <row r="378" spans="1:2" x14ac:dyDescent="0.3">
      <c r="A378" s="190">
        <v>42884</v>
      </c>
      <c r="B378" s="191">
        <v>0</v>
      </c>
    </row>
    <row r="379" spans="1:2" x14ac:dyDescent="0.3">
      <c r="A379" s="190">
        <v>42885</v>
      </c>
      <c r="B379" s="192">
        <v>1.1183000000000001</v>
      </c>
    </row>
    <row r="380" spans="1:2" x14ac:dyDescent="0.3">
      <c r="A380" s="190">
        <v>42886</v>
      </c>
      <c r="B380" s="192">
        <v>1.1235999999999999</v>
      </c>
    </row>
    <row r="381" spans="1:2" x14ac:dyDescent="0.3">
      <c r="A381" s="190">
        <v>42887</v>
      </c>
      <c r="B381" s="192">
        <v>1.1214</v>
      </c>
    </row>
    <row r="382" spans="1:2" x14ac:dyDescent="0.3">
      <c r="A382" s="190">
        <v>42888</v>
      </c>
      <c r="B382" s="192">
        <v>1.127</v>
      </c>
    </row>
    <row r="383" spans="1:2" x14ac:dyDescent="0.3">
      <c r="A383" s="190">
        <v>42891</v>
      </c>
      <c r="B383" s="192">
        <v>1.125</v>
      </c>
    </row>
    <row r="384" spans="1:2" x14ac:dyDescent="0.3">
      <c r="A384" s="190">
        <v>42892</v>
      </c>
      <c r="B384" s="192">
        <v>1.1266</v>
      </c>
    </row>
    <row r="385" spans="1:2" x14ac:dyDescent="0.3">
      <c r="A385" s="190">
        <v>42893</v>
      </c>
      <c r="B385" s="192">
        <v>1.1235999999999999</v>
      </c>
    </row>
    <row r="386" spans="1:2" x14ac:dyDescent="0.3">
      <c r="A386" s="190">
        <v>42894</v>
      </c>
      <c r="B386" s="192">
        <v>1.1216999999999999</v>
      </c>
    </row>
    <row r="387" spans="1:2" x14ac:dyDescent="0.3">
      <c r="A387" s="190">
        <v>42895</v>
      </c>
      <c r="B387" s="192">
        <v>1.119</v>
      </c>
    </row>
    <row r="388" spans="1:2" x14ac:dyDescent="0.3">
      <c r="A388" s="190">
        <v>42898</v>
      </c>
      <c r="B388" s="192">
        <v>1.1204000000000001</v>
      </c>
    </row>
    <row r="389" spans="1:2" x14ac:dyDescent="0.3">
      <c r="A389" s="190">
        <v>42899</v>
      </c>
      <c r="B389" s="192">
        <v>1.1194</v>
      </c>
    </row>
    <row r="390" spans="1:2" x14ac:dyDescent="0.3">
      <c r="A390" s="190">
        <v>42900</v>
      </c>
      <c r="B390" s="192">
        <v>1.1276999999999999</v>
      </c>
    </row>
    <row r="391" spans="1:2" x14ac:dyDescent="0.3">
      <c r="A391" s="190">
        <v>42901</v>
      </c>
      <c r="B391" s="192">
        <v>1.1152</v>
      </c>
    </row>
    <row r="392" spans="1:2" x14ac:dyDescent="0.3">
      <c r="A392" s="190">
        <v>42902</v>
      </c>
      <c r="B392" s="192">
        <v>1.1194</v>
      </c>
    </row>
    <row r="393" spans="1:2" x14ac:dyDescent="0.3">
      <c r="A393" s="190">
        <v>42905</v>
      </c>
      <c r="B393" s="192">
        <v>1.1160000000000001</v>
      </c>
    </row>
    <row r="394" spans="1:2" x14ac:dyDescent="0.3">
      <c r="A394" s="190">
        <v>42906</v>
      </c>
      <c r="B394" s="192">
        <v>1.1124000000000001</v>
      </c>
    </row>
    <row r="395" spans="1:2" x14ac:dyDescent="0.3">
      <c r="A395" s="190">
        <v>42907</v>
      </c>
      <c r="B395" s="192">
        <v>1.1143000000000001</v>
      </c>
    </row>
    <row r="396" spans="1:2" x14ac:dyDescent="0.3">
      <c r="A396" s="190">
        <v>42908</v>
      </c>
      <c r="B396" s="192">
        <v>1.1148</v>
      </c>
    </row>
    <row r="397" spans="1:2" x14ac:dyDescent="0.3">
      <c r="A397" s="190">
        <v>42909</v>
      </c>
      <c r="B397" s="192">
        <v>1.1195999999999999</v>
      </c>
    </row>
    <row r="398" spans="1:2" x14ac:dyDescent="0.3">
      <c r="A398" s="190">
        <v>42912</v>
      </c>
      <c r="B398" s="192">
        <v>1.1195999999999999</v>
      </c>
    </row>
    <row r="399" spans="1:2" x14ac:dyDescent="0.3">
      <c r="A399" s="190">
        <v>42913</v>
      </c>
      <c r="B399" s="192">
        <v>1.1299999999999999</v>
      </c>
    </row>
    <row r="400" spans="1:2" x14ac:dyDescent="0.3">
      <c r="A400" s="190">
        <v>42914</v>
      </c>
      <c r="B400" s="192">
        <v>1.1364000000000001</v>
      </c>
    </row>
    <row r="401" spans="1:2" x14ac:dyDescent="0.3">
      <c r="A401" s="190">
        <v>42915</v>
      </c>
      <c r="B401" s="192">
        <v>1.1419999999999999</v>
      </c>
    </row>
    <row r="402" spans="1:2" x14ac:dyDescent="0.3">
      <c r="A402" s="190">
        <v>42916</v>
      </c>
      <c r="B402" s="192">
        <v>1.1411</v>
      </c>
    </row>
    <row r="403" spans="1:2" x14ac:dyDescent="0.3">
      <c r="A403" s="190">
        <v>42919</v>
      </c>
      <c r="B403" s="192">
        <v>1.1367</v>
      </c>
    </row>
    <row r="404" spans="1:2" x14ac:dyDescent="0.3">
      <c r="A404" s="190">
        <v>42920</v>
      </c>
      <c r="B404" s="191">
        <v>0</v>
      </c>
    </row>
    <row r="405" spans="1:2" x14ac:dyDescent="0.3">
      <c r="A405" s="190">
        <v>42921</v>
      </c>
      <c r="B405" s="192">
        <v>1.1335999999999999</v>
      </c>
    </row>
    <row r="406" spans="1:2" x14ac:dyDescent="0.3">
      <c r="A406" s="190">
        <v>42922</v>
      </c>
      <c r="B406" s="192">
        <v>1.1409</v>
      </c>
    </row>
    <row r="407" spans="1:2" x14ac:dyDescent="0.3">
      <c r="A407" s="190">
        <v>42923</v>
      </c>
      <c r="B407" s="192">
        <v>1.1395999999999999</v>
      </c>
    </row>
    <row r="408" spans="1:2" x14ac:dyDescent="0.3">
      <c r="A408" s="190">
        <v>42926</v>
      </c>
      <c r="B408" s="192">
        <v>1.1395999999999999</v>
      </c>
    </row>
    <row r="409" spans="1:2" x14ac:dyDescent="0.3">
      <c r="A409" s="190">
        <v>42927</v>
      </c>
      <c r="B409" s="192">
        <v>1.143</v>
      </c>
    </row>
    <row r="410" spans="1:2" x14ac:dyDescent="0.3">
      <c r="A410" s="190">
        <v>42928</v>
      </c>
      <c r="B410" s="192">
        <v>1.1411</v>
      </c>
    </row>
    <row r="411" spans="1:2" x14ac:dyDescent="0.3">
      <c r="A411" s="190">
        <v>42929</v>
      </c>
      <c r="B411" s="192">
        <v>1.1385000000000001</v>
      </c>
    </row>
    <row r="412" spans="1:2" x14ac:dyDescent="0.3">
      <c r="A412" s="190">
        <v>42930</v>
      </c>
      <c r="B412" s="192">
        <v>1.1452</v>
      </c>
    </row>
    <row r="413" spans="1:2" x14ac:dyDescent="0.3">
      <c r="A413" s="190">
        <v>42933</v>
      </c>
      <c r="B413" s="192">
        <v>1.147</v>
      </c>
    </row>
    <row r="414" spans="1:2" x14ac:dyDescent="0.3">
      <c r="A414" s="190">
        <v>42934</v>
      </c>
      <c r="B414" s="192">
        <v>1.1577999999999999</v>
      </c>
    </row>
    <row r="415" spans="1:2" x14ac:dyDescent="0.3">
      <c r="A415" s="190">
        <v>42935</v>
      </c>
      <c r="B415" s="192">
        <v>1.1517999999999999</v>
      </c>
    </row>
    <row r="416" spans="1:2" x14ac:dyDescent="0.3">
      <c r="A416" s="190">
        <v>42936</v>
      </c>
      <c r="B416" s="192">
        <v>1.1634</v>
      </c>
    </row>
    <row r="417" spans="1:2" x14ac:dyDescent="0.3">
      <c r="A417" s="190">
        <v>42937</v>
      </c>
      <c r="B417" s="192">
        <v>1.1655</v>
      </c>
    </row>
    <row r="418" spans="1:2" x14ac:dyDescent="0.3">
      <c r="A418" s="190">
        <v>42940</v>
      </c>
      <c r="B418" s="192">
        <v>1.1641999999999999</v>
      </c>
    </row>
    <row r="419" spans="1:2" x14ac:dyDescent="0.3">
      <c r="A419" s="190">
        <v>42941</v>
      </c>
      <c r="B419" s="192">
        <v>1.1656</v>
      </c>
    </row>
    <row r="420" spans="1:2" x14ac:dyDescent="0.3">
      <c r="A420" s="190">
        <v>42942</v>
      </c>
      <c r="B420" s="192">
        <v>1.1632</v>
      </c>
    </row>
    <row r="421" spans="1:2" x14ac:dyDescent="0.3">
      <c r="A421" s="190">
        <v>42943</v>
      </c>
      <c r="B421" s="192">
        <v>1.1656</v>
      </c>
    </row>
    <row r="422" spans="1:2" x14ac:dyDescent="0.3">
      <c r="A422" s="190">
        <v>42944</v>
      </c>
      <c r="B422" s="192">
        <v>1.1754</v>
      </c>
    </row>
    <row r="423" spans="1:2" x14ac:dyDescent="0.3">
      <c r="A423" s="190">
        <v>42947</v>
      </c>
      <c r="B423" s="192">
        <v>1.1826000000000001</v>
      </c>
    </row>
    <row r="424" spans="1:2" x14ac:dyDescent="0.3">
      <c r="A424" s="190">
        <v>42948</v>
      </c>
      <c r="B424" s="192">
        <v>1.1798999999999999</v>
      </c>
    </row>
    <row r="425" spans="1:2" x14ac:dyDescent="0.3">
      <c r="A425" s="190">
        <v>42949</v>
      </c>
      <c r="B425" s="192">
        <v>1.1860999999999999</v>
      </c>
    </row>
    <row r="426" spans="1:2" x14ac:dyDescent="0.3">
      <c r="A426" s="190">
        <v>42950</v>
      </c>
      <c r="B426" s="192">
        <v>1.1879999999999999</v>
      </c>
    </row>
    <row r="427" spans="1:2" x14ac:dyDescent="0.3">
      <c r="A427" s="190">
        <v>42951</v>
      </c>
      <c r="B427" s="192">
        <v>1.1754</v>
      </c>
    </row>
    <row r="428" spans="1:2" x14ac:dyDescent="0.3">
      <c r="A428" s="190">
        <v>42954</v>
      </c>
      <c r="B428" s="192">
        <v>1.1788000000000001</v>
      </c>
    </row>
    <row r="429" spans="1:2" x14ac:dyDescent="0.3">
      <c r="A429" s="190">
        <v>42955</v>
      </c>
      <c r="B429" s="192">
        <v>1.1724000000000001</v>
      </c>
    </row>
    <row r="430" spans="1:2" x14ac:dyDescent="0.3">
      <c r="A430" s="190">
        <v>42956</v>
      </c>
      <c r="B430" s="192">
        <v>1.1748000000000001</v>
      </c>
    </row>
    <row r="431" spans="1:2" x14ac:dyDescent="0.3">
      <c r="A431" s="190">
        <v>42957</v>
      </c>
      <c r="B431" s="192">
        <v>1.1751</v>
      </c>
    </row>
    <row r="432" spans="1:2" x14ac:dyDescent="0.3">
      <c r="A432" s="190">
        <v>42958</v>
      </c>
      <c r="B432" s="192">
        <v>1.1811</v>
      </c>
    </row>
    <row r="433" spans="1:2" x14ac:dyDescent="0.3">
      <c r="A433" s="190">
        <v>42961</v>
      </c>
      <c r="B433" s="192">
        <v>1.1786000000000001</v>
      </c>
    </row>
    <row r="434" spans="1:2" x14ac:dyDescent="0.3">
      <c r="A434" s="190">
        <v>42962</v>
      </c>
      <c r="B434" s="192">
        <v>1.1736</v>
      </c>
    </row>
    <row r="435" spans="1:2" x14ac:dyDescent="0.3">
      <c r="A435" s="190">
        <v>42963</v>
      </c>
      <c r="B435" s="192">
        <v>1.1702999999999999</v>
      </c>
    </row>
    <row r="436" spans="1:2" x14ac:dyDescent="0.3">
      <c r="A436" s="190">
        <v>42964</v>
      </c>
      <c r="B436" s="192">
        <v>1.1736</v>
      </c>
    </row>
    <row r="437" spans="1:2" x14ac:dyDescent="0.3">
      <c r="A437" s="190">
        <v>42965</v>
      </c>
      <c r="B437" s="192">
        <v>1.1748000000000001</v>
      </c>
    </row>
    <row r="438" spans="1:2" x14ac:dyDescent="0.3">
      <c r="A438" s="190">
        <v>42968</v>
      </c>
      <c r="B438" s="192">
        <v>1.1814</v>
      </c>
    </row>
    <row r="439" spans="1:2" x14ac:dyDescent="0.3">
      <c r="A439" s="190">
        <v>42969</v>
      </c>
      <c r="B439" s="192">
        <v>1.1761999999999999</v>
      </c>
    </row>
    <row r="440" spans="1:2" x14ac:dyDescent="0.3">
      <c r="A440" s="190">
        <v>42970</v>
      </c>
      <c r="B440" s="192">
        <v>1.1801999999999999</v>
      </c>
    </row>
    <row r="441" spans="1:2" x14ac:dyDescent="0.3">
      <c r="A441" s="190">
        <v>42971</v>
      </c>
      <c r="B441" s="192">
        <v>1.1800999999999999</v>
      </c>
    </row>
    <row r="442" spans="1:2" x14ac:dyDescent="0.3">
      <c r="A442" s="190">
        <v>42972</v>
      </c>
      <c r="B442" s="192">
        <v>1.1874</v>
      </c>
    </row>
    <row r="443" spans="1:2" x14ac:dyDescent="0.3">
      <c r="A443" s="190">
        <v>42975</v>
      </c>
      <c r="B443" s="192">
        <v>1.1973</v>
      </c>
    </row>
    <row r="444" spans="1:2" x14ac:dyDescent="0.3">
      <c r="A444" s="190">
        <v>42976</v>
      </c>
      <c r="B444" s="192">
        <v>1.2024999999999999</v>
      </c>
    </row>
    <row r="445" spans="1:2" x14ac:dyDescent="0.3">
      <c r="A445" s="190">
        <v>42977</v>
      </c>
      <c r="B445" s="192">
        <v>1.1927000000000001</v>
      </c>
    </row>
    <row r="446" spans="1:2" x14ac:dyDescent="0.3">
      <c r="A446" s="190">
        <v>42978</v>
      </c>
      <c r="B446" s="192">
        <v>1.1894</v>
      </c>
    </row>
    <row r="447" spans="1:2" x14ac:dyDescent="0.3">
      <c r="A447" s="190">
        <v>42979</v>
      </c>
      <c r="B447" s="192">
        <v>1.1878</v>
      </c>
    </row>
    <row r="448" spans="1:2" x14ac:dyDescent="0.3">
      <c r="A448" s="190">
        <v>42982</v>
      </c>
      <c r="B448" s="191">
        <v>0</v>
      </c>
    </row>
    <row r="449" spans="1:2" x14ac:dyDescent="0.3">
      <c r="A449" s="190">
        <v>42983</v>
      </c>
      <c r="B449" s="192">
        <v>1.1911</v>
      </c>
    </row>
    <row r="450" spans="1:2" x14ac:dyDescent="0.3">
      <c r="A450" s="190">
        <v>42984</v>
      </c>
      <c r="B450" s="192">
        <v>1.1942999999999999</v>
      </c>
    </row>
    <row r="451" spans="1:2" x14ac:dyDescent="0.3">
      <c r="A451" s="190">
        <v>42985</v>
      </c>
      <c r="B451" s="192">
        <v>1.2028000000000001</v>
      </c>
    </row>
    <row r="452" spans="1:2" x14ac:dyDescent="0.3">
      <c r="A452" s="190">
        <v>42986</v>
      </c>
      <c r="B452" s="192">
        <v>1.2040999999999999</v>
      </c>
    </row>
    <row r="453" spans="1:2" x14ac:dyDescent="0.3">
      <c r="A453" s="190">
        <v>42989</v>
      </c>
      <c r="B453" s="192">
        <v>1.1963999999999999</v>
      </c>
    </row>
    <row r="454" spans="1:2" x14ac:dyDescent="0.3">
      <c r="A454" s="190">
        <v>42990</v>
      </c>
      <c r="B454" s="192">
        <v>1.1968000000000001</v>
      </c>
    </row>
    <row r="455" spans="1:2" x14ac:dyDescent="0.3">
      <c r="A455" s="190">
        <v>42991</v>
      </c>
      <c r="B455" s="192">
        <v>1.1898</v>
      </c>
    </row>
    <row r="456" spans="1:2" x14ac:dyDescent="0.3">
      <c r="A456" s="190">
        <v>42992</v>
      </c>
      <c r="B456" s="192">
        <v>1.1886000000000001</v>
      </c>
    </row>
    <row r="457" spans="1:2" x14ac:dyDescent="0.3">
      <c r="A457" s="190">
        <v>42993</v>
      </c>
      <c r="B457" s="192">
        <v>1.1959</v>
      </c>
    </row>
    <row r="458" spans="1:2" x14ac:dyDescent="0.3">
      <c r="A458" s="190">
        <v>42996</v>
      </c>
      <c r="B458" s="192">
        <v>1.1938</v>
      </c>
    </row>
    <row r="459" spans="1:2" x14ac:dyDescent="0.3">
      <c r="A459" s="190">
        <v>42997</v>
      </c>
      <c r="B459" s="192">
        <v>1.198</v>
      </c>
    </row>
    <row r="460" spans="1:2" x14ac:dyDescent="0.3">
      <c r="A460" s="190">
        <v>42998</v>
      </c>
      <c r="B460" s="192">
        <v>1.1998</v>
      </c>
    </row>
    <row r="461" spans="1:2" x14ac:dyDescent="0.3">
      <c r="A461" s="190">
        <v>42999</v>
      </c>
      <c r="B461" s="192">
        <v>1.1946000000000001</v>
      </c>
    </row>
    <row r="462" spans="1:2" x14ac:dyDescent="0.3">
      <c r="A462" s="190">
        <v>43000</v>
      </c>
      <c r="B462" s="192">
        <v>1.1969000000000001</v>
      </c>
    </row>
    <row r="463" spans="1:2" x14ac:dyDescent="0.3">
      <c r="A463" s="190">
        <v>43003</v>
      </c>
      <c r="B463" s="192">
        <v>1.1852</v>
      </c>
    </row>
    <row r="464" spans="1:2" x14ac:dyDescent="0.3">
      <c r="A464" s="190">
        <v>43004</v>
      </c>
      <c r="B464" s="192">
        <v>1.1772</v>
      </c>
    </row>
    <row r="465" spans="1:2" x14ac:dyDescent="0.3">
      <c r="A465" s="190">
        <v>43005</v>
      </c>
      <c r="B465" s="192">
        <v>1.1747000000000001</v>
      </c>
    </row>
    <row r="466" spans="1:2" x14ac:dyDescent="0.3">
      <c r="A466" s="190">
        <v>43006</v>
      </c>
      <c r="B466" s="192">
        <v>1.1776</v>
      </c>
    </row>
    <row r="467" spans="1:2" x14ac:dyDescent="0.3">
      <c r="A467" s="190">
        <v>43007</v>
      </c>
      <c r="B467" s="192">
        <v>1.1813</v>
      </c>
    </row>
    <row r="468" spans="1:2" x14ac:dyDescent="0.3">
      <c r="A468" s="190">
        <v>43010</v>
      </c>
      <c r="B468" s="192">
        <v>1.1745000000000001</v>
      </c>
    </row>
    <row r="469" spans="1:2" x14ac:dyDescent="0.3">
      <c r="A469" s="190">
        <v>43011</v>
      </c>
      <c r="B469" s="192">
        <v>1.1758999999999999</v>
      </c>
    </row>
    <row r="470" spans="1:2" x14ac:dyDescent="0.3">
      <c r="A470" s="190">
        <v>43012</v>
      </c>
      <c r="B470" s="192">
        <v>1.1759999999999999</v>
      </c>
    </row>
    <row r="471" spans="1:2" x14ac:dyDescent="0.3">
      <c r="A471" s="190">
        <v>43013</v>
      </c>
      <c r="B471" s="192">
        <v>1.1706000000000001</v>
      </c>
    </row>
    <row r="472" spans="1:2" x14ac:dyDescent="0.3">
      <c r="A472" s="190">
        <v>43014</v>
      </c>
      <c r="B472" s="192">
        <v>1.1732</v>
      </c>
    </row>
    <row r="473" spans="1:2" x14ac:dyDescent="0.3">
      <c r="A473" s="190">
        <v>43017</v>
      </c>
      <c r="B473" s="191">
        <v>0</v>
      </c>
    </row>
    <row r="474" spans="1:2" x14ac:dyDescent="0.3">
      <c r="A474" s="190">
        <v>43018</v>
      </c>
      <c r="B474" s="192">
        <v>1.1803999999999999</v>
      </c>
    </row>
    <row r="475" spans="1:2" x14ac:dyDescent="0.3">
      <c r="A475" s="190">
        <v>43019</v>
      </c>
      <c r="B475" s="192">
        <v>1.1847000000000001</v>
      </c>
    </row>
    <row r="476" spans="1:2" x14ac:dyDescent="0.3">
      <c r="A476" s="190">
        <v>43020</v>
      </c>
      <c r="B476" s="192">
        <v>1.1839999999999999</v>
      </c>
    </row>
    <row r="477" spans="1:2" x14ac:dyDescent="0.3">
      <c r="A477" s="190">
        <v>43021</v>
      </c>
      <c r="B477" s="192">
        <v>1.1837</v>
      </c>
    </row>
    <row r="478" spans="1:2" x14ac:dyDescent="0.3">
      <c r="A478" s="190">
        <v>43024</v>
      </c>
      <c r="B478" s="192">
        <v>1.181</v>
      </c>
    </row>
    <row r="479" spans="1:2" x14ac:dyDescent="0.3">
      <c r="A479" s="190">
        <v>43025</v>
      </c>
      <c r="B479" s="192">
        <v>1.1754</v>
      </c>
    </row>
    <row r="480" spans="1:2" x14ac:dyDescent="0.3">
      <c r="A480" s="190">
        <v>43026</v>
      </c>
      <c r="B480" s="192">
        <v>1.1775</v>
      </c>
    </row>
    <row r="481" spans="1:2" x14ac:dyDescent="0.3">
      <c r="A481" s="190">
        <v>43027</v>
      </c>
      <c r="B481" s="192">
        <v>1.1841999999999999</v>
      </c>
    </row>
    <row r="482" spans="1:2" x14ac:dyDescent="0.3">
      <c r="A482" s="190">
        <v>43028</v>
      </c>
      <c r="B482" s="192">
        <v>1.177</v>
      </c>
    </row>
    <row r="483" spans="1:2" x14ac:dyDescent="0.3">
      <c r="A483" s="190">
        <v>43031</v>
      </c>
      <c r="B483" s="192">
        <v>1.1761999999999999</v>
      </c>
    </row>
    <row r="484" spans="1:2" x14ac:dyDescent="0.3">
      <c r="A484" s="190">
        <v>43032</v>
      </c>
      <c r="B484" s="192">
        <v>1.1766000000000001</v>
      </c>
    </row>
    <row r="485" spans="1:2" x14ac:dyDescent="0.3">
      <c r="A485" s="190">
        <v>43033</v>
      </c>
      <c r="B485" s="192">
        <v>1.1801999999999999</v>
      </c>
    </row>
    <row r="486" spans="1:2" x14ac:dyDescent="0.3">
      <c r="A486" s="190">
        <v>43034</v>
      </c>
      <c r="B486" s="192">
        <v>1.17</v>
      </c>
    </row>
    <row r="487" spans="1:2" x14ac:dyDescent="0.3">
      <c r="A487" s="190">
        <v>43035</v>
      </c>
      <c r="B487" s="192">
        <v>1.1579999999999999</v>
      </c>
    </row>
    <row r="488" spans="1:2" x14ac:dyDescent="0.3">
      <c r="A488" s="190">
        <v>43038</v>
      </c>
      <c r="B488" s="192">
        <v>1.1626000000000001</v>
      </c>
    </row>
    <row r="489" spans="1:2" x14ac:dyDescent="0.3">
      <c r="A489" s="190">
        <v>43039</v>
      </c>
      <c r="B489" s="192">
        <v>1.1648000000000001</v>
      </c>
    </row>
    <row r="490" spans="1:2" x14ac:dyDescent="0.3">
      <c r="A490" s="190">
        <v>43040</v>
      </c>
      <c r="B490" s="192">
        <v>1.1617999999999999</v>
      </c>
    </row>
    <row r="491" spans="1:2" x14ac:dyDescent="0.3">
      <c r="A491" s="190">
        <v>43041</v>
      </c>
      <c r="B491" s="192">
        <v>1.1672</v>
      </c>
    </row>
    <row r="492" spans="1:2" x14ac:dyDescent="0.3">
      <c r="A492" s="190">
        <v>43042</v>
      </c>
      <c r="B492" s="192">
        <v>1.1616</v>
      </c>
    </row>
    <row r="493" spans="1:2" x14ac:dyDescent="0.3">
      <c r="A493" s="190">
        <v>43045</v>
      </c>
      <c r="B493" s="192">
        <v>1.1599999999999999</v>
      </c>
    </row>
    <row r="494" spans="1:2" x14ac:dyDescent="0.3">
      <c r="A494" s="190">
        <v>43046</v>
      </c>
      <c r="B494" s="192">
        <v>1.1577</v>
      </c>
    </row>
    <row r="495" spans="1:2" x14ac:dyDescent="0.3">
      <c r="A495" s="190">
        <v>43047</v>
      </c>
      <c r="B495" s="192">
        <v>1.1591</v>
      </c>
    </row>
    <row r="496" spans="1:2" x14ac:dyDescent="0.3">
      <c r="A496" s="190">
        <v>43048</v>
      </c>
      <c r="B496" s="192">
        <v>1.1648000000000001</v>
      </c>
    </row>
    <row r="497" spans="1:2" x14ac:dyDescent="0.3">
      <c r="A497" s="190">
        <v>43049</v>
      </c>
      <c r="B497" s="191">
        <v>0</v>
      </c>
    </row>
    <row r="498" spans="1:2" x14ac:dyDescent="0.3">
      <c r="A498" s="190">
        <v>43052</v>
      </c>
      <c r="B498" s="192">
        <v>1.1656</v>
      </c>
    </row>
    <row r="499" spans="1:2" x14ac:dyDescent="0.3">
      <c r="A499" s="190">
        <v>43053</v>
      </c>
      <c r="B499" s="192">
        <v>1.1763999999999999</v>
      </c>
    </row>
    <row r="500" spans="1:2" x14ac:dyDescent="0.3">
      <c r="A500" s="190">
        <v>43054</v>
      </c>
      <c r="B500" s="192">
        <v>1.1794</v>
      </c>
    </row>
    <row r="501" spans="1:2" x14ac:dyDescent="0.3">
      <c r="A501" s="190">
        <v>43055</v>
      </c>
      <c r="B501" s="192">
        <v>1.1772</v>
      </c>
    </row>
    <row r="502" spans="1:2" x14ac:dyDescent="0.3">
      <c r="A502" s="190">
        <v>43056</v>
      </c>
      <c r="B502" s="192">
        <v>1.1798999999999999</v>
      </c>
    </row>
    <row r="503" spans="1:2" x14ac:dyDescent="0.3">
      <c r="A503" s="190">
        <v>43059</v>
      </c>
      <c r="B503" s="192">
        <v>1.1740999999999999</v>
      </c>
    </row>
    <row r="504" spans="1:2" x14ac:dyDescent="0.3">
      <c r="A504" s="190">
        <v>43060</v>
      </c>
      <c r="B504" s="192">
        <v>1.1740999999999999</v>
      </c>
    </row>
    <row r="505" spans="1:2" x14ac:dyDescent="0.3">
      <c r="A505" s="190">
        <v>43061</v>
      </c>
      <c r="B505" s="192">
        <v>1.1789000000000001</v>
      </c>
    </row>
    <row r="506" spans="1:2" x14ac:dyDescent="0.3">
      <c r="A506" s="190">
        <v>43062</v>
      </c>
      <c r="B506" s="191">
        <v>0</v>
      </c>
    </row>
    <row r="507" spans="1:2" x14ac:dyDescent="0.3">
      <c r="A507" s="190">
        <v>43063</v>
      </c>
      <c r="B507" s="192">
        <v>1.1936</v>
      </c>
    </row>
    <row r="508" spans="1:2" x14ac:dyDescent="0.3">
      <c r="A508" s="190">
        <v>43066</v>
      </c>
      <c r="B508" s="192">
        <v>1.1911</v>
      </c>
    </row>
    <row r="509" spans="1:2" x14ac:dyDescent="0.3">
      <c r="A509" s="190">
        <v>43067</v>
      </c>
      <c r="B509" s="192">
        <v>1.1878</v>
      </c>
    </row>
    <row r="510" spans="1:2" x14ac:dyDescent="0.3">
      <c r="A510" s="190">
        <v>43068</v>
      </c>
      <c r="B510" s="192">
        <v>1.1858</v>
      </c>
    </row>
    <row r="511" spans="1:2" x14ac:dyDescent="0.3">
      <c r="A511" s="190">
        <v>43069</v>
      </c>
      <c r="B511" s="192">
        <v>1.1898</v>
      </c>
    </row>
    <row r="512" spans="1:2" x14ac:dyDescent="0.3">
      <c r="A512" s="190">
        <v>43070</v>
      </c>
      <c r="B512" s="192">
        <v>1.1910000000000001</v>
      </c>
    </row>
    <row r="513" spans="1:2" x14ac:dyDescent="0.3">
      <c r="A513" s="190">
        <v>43073</v>
      </c>
      <c r="B513" s="192">
        <v>1.1848000000000001</v>
      </c>
    </row>
    <row r="514" spans="1:2" x14ac:dyDescent="0.3">
      <c r="A514" s="190">
        <v>43074</v>
      </c>
      <c r="B514" s="192">
        <v>1.1819999999999999</v>
      </c>
    </row>
    <row r="515" spans="1:2" x14ac:dyDescent="0.3">
      <c r="A515" s="190">
        <v>43075</v>
      </c>
      <c r="B515" s="192">
        <v>1.1788000000000001</v>
      </c>
    </row>
    <row r="516" spans="1:2" x14ac:dyDescent="0.3">
      <c r="A516" s="190">
        <v>43076</v>
      </c>
      <c r="B516" s="192">
        <v>1.179</v>
      </c>
    </row>
    <row r="517" spans="1:2" x14ac:dyDescent="0.3">
      <c r="A517" s="190">
        <v>43077</v>
      </c>
      <c r="B517" s="192">
        <v>1.1760999999999999</v>
      </c>
    </row>
    <row r="518" spans="1:2" x14ac:dyDescent="0.3">
      <c r="A518" s="190">
        <v>43080</v>
      </c>
      <c r="B518" s="192">
        <v>1.1801999999999999</v>
      </c>
    </row>
    <row r="519" spans="1:2" x14ac:dyDescent="0.3">
      <c r="A519" s="190">
        <v>43081</v>
      </c>
      <c r="B519" s="192">
        <v>1.1725000000000001</v>
      </c>
    </row>
    <row r="520" spans="1:2" x14ac:dyDescent="0.3">
      <c r="A520" s="190">
        <v>43082</v>
      </c>
      <c r="B520" s="192">
        <v>1.1761999999999999</v>
      </c>
    </row>
    <row r="521" spans="1:2" x14ac:dyDescent="0.3">
      <c r="A521" s="190">
        <v>43083</v>
      </c>
      <c r="B521" s="192">
        <v>1.1778</v>
      </c>
    </row>
    <row r="522" spans="1:2" x14ac:dyDescent="0.3">
      <c r="A522" s="190">
        <v>43084</v>
      </c>
      <c r="B522" s="192">
        <v>1.1778</v>
      </c>
    </row>
    <row r="523" spans="1:2" x14ac:dyDescent="0.3">
      <c r="A523" s="190">
        <v>43087</v>
      </c>
      <c r="B523" s="192">
        <v>1.1803999999999999</v>
      </c>
    </row>
    <row r="524" spans="1:2" x14ac:dyDescent="0.3">
      <c r="A524" s="190">
        <v>43088</v>
      </c>
      <c r="B524" s="192">
        <v>1.1821999999999999</v>
      </c>
    </row>
    <row r="525" spans="1:2" x14ac:dyDescent="0.3">
      <c r="A525" s="190">
        <v>43089</v>
      </c>
      <c r="B525" s="192">
        <v>1.1880999999999999</v>
      </c>
    </row>
    <row r="526" spans="1:2" x14ac:dyDescent="0.3">
      <c r="A526" s="190">
        <v>43090</v>
      </c>
      <c r="B526" s="192">
        <v>1.1872</v>
      </c>
    </row>
    <row r="527" spans="1:2" x14ac:dyDescent="0.3">
      <c r="A527" s="190">
        <v>43091</v>
      </c>
      <c r="B527" s="192">
        <v>1.1839</v>
      </c>
    </row>
    <row r="528" spans="1:2" x14ac:dyDescent="0.3">
      <c r="A528" s="190">
        <v>43094</v>
      </c>
      <c r="B528" s="191">
        <v>0</v>
      </c>
    </row>
    <row r="529" spans="1:2" x14ac:dyDescent="0.3">
      <c r="A529" s="190">
        <v>43095</v>
      </c>
      <c r="B529" s="192">
        <v>1.1867000000000001</v>
      </c>
    </row>
    <row r="530" spans="1:2" x14ac:dyDescent="0.3">
      <c r="A530" s="190">
        <v>43096</v>
      </c>
      <c r="B530" s="192">
        <v>1.1901999999999999</v>
      </c>
    </row>
    <row r="531" spans="1:2" x14ac:dyDescent="0.3">
      <c r="A531" s="190">
        <v>43097</v>
      </c>
      <c r="B531" s="192">
        <v>1.1952</v>
      </c>
    </row>
    <row r="532" spans="1:2" x14ac:dyDescent="0.3">
      <c r="A532" s="190">
        <v>43098</v>
      </c>
      <c r="B532" s="192">
        <v>1.2021999999999999</v>
      </c>
    </row>
    <row r="533" spans="1:2" x14ac:dyDescent="0.3">
      <c r="A533" s="190">
        <v>43101</v>
      </c>
      <c r="B533" s="191">
        <v>0</v>
      </c>
    </row>
    <row r="534" spans="1:2" x14ac:dyDescent="0.3">
      <c r="A534" s="190">
        <v>43102</v>
      </c>
      <c r="B534" s="192">
        <v>1.2050000000000001</v>
      </c>
    </row>
    <row r="535" spans="1:2" x14ac:dyDescent="0.3">
      <c r="A535" s="190">
        <v>43103</v>
      </c>
      <c r="B535" s="192">
        <v>1.2030000000000001</v>
      </c>
    </row>
    <row r="536" spans="1:2" x14ac:dyDescent="0.3">
      <c r="A536" s="190">
        <v>43104</v>
      </c>
      <c r="B536" s="192">
        <v>1.2063999999999999</v>
      </c>
    </row>
    <row r="537" spans="1:2" x14ac:dyDescent="0.3">
      <c r="A537" s="190">
        <v>43105</v>
      </c>
      <c r="B537" s="192">
        <v>1.2039</v>
      </c>
    </row>
    <row r="538" spans="1:2" x14ac:dyDescent="0.3">
      <c r="A538" s="190">
        <v>43108</v>
      </c>
      <c r="B538" s="192">
        <v>1.1973</v>
      </c>
    </row>
    <row r="539" spans="1:2" x14ac:dyDescent="0.3">
      <c r="A539" s="190">
        <v>43109</v>
      </c>
      <c r="B539" s="192">
        <v>1.1921999999999999</v>
      </c>
    </row>
    <row r="540" spans="1:2" x14ac:dyDescent="0.3">
      <c r="A540" s="190">
        <v>43110</v>
      </c>
      <c r="B540" s="192">
        <v>1.1958</v>
      </c>
    </row>
    <row r="541" spans="1:2" x14ac:dyDescent="0.3">
      <c r="A541" s="190">
        <v>43111</v>
      </c>
      <c r="B541" s="192">
        <v>1.2035</v>
      </c>
    </row>
    <row r="542" spans="1:2" x14ac:dyDescent="0.3">
      <c r="A542" s="190">
        <v>43112</v>
      </c>
      <c r="B542" s="192">
        <v>1.2130000000000001</v>
      </c>
    </row>
    <row r="543" spans="1:2" x14ac:dyDescent="0.3">
      <c r="A543" s="190">
        <v>43115</v>
      </c>
      <c r="B543" s="191">
        <v>0</v>
      </c>
    </row>
    <row r="544" spans="1:2" x14ac:dyDescent="0.3">
      <c r="A544" s="190">
        <v>43116</v>
      </c>
      <c r="B544" s="192">
        <v>1.2243999999999999</v>
      </c>
    </row>
    <row r="545" spans="1:2" x14ac:dyDescent="0.3">
      <c r="A545" s="190">
        <v>43117</v>
      </c>
      <c r="B545" s="192">
        <v>1.2229000000000001</v>
      </c>
    </row>
    <row r="546" spans="1:2" x14ac:dyDescent="0.3">
      <c r="A546" s="190">
        <v>43118</v>
      </c>
      <c r="B546" s="192">
        <v>1.2238</v>
      </c>
    </row>
    <row r="547" spans="1:2" x14ac:dyDescent="0.3">
      <c r="A547" s="190">
        <v>43119</v>
      </c>
      <c r="B547" s="192">
        <v>1.2238</v>
      </c>
    </row>
    <row r="548" spans="1:2" x14ac:dyDescent="0.3">
      <c r="A548" s="190">
        <v>43122</v>
      </c>
      <c r="B548" s="192">
        <v>1.2230000000000001</v>
      </c>
    </row>
    <row r="549" spans="1:2" x14ac:dyDescent="0.3">
      <c r="A549" s="190">
        <v>43123</v>
      </c>
      <c r="B549" s="192">
        <v>1.2277</v>
      </c>
    </row>
    <row r="550" spans="1:2" x14ac:dyDescent="0.3">
      <c r="A550" s="190">
        <v>43124</v>
      </c>
      <c r="B550" s="192">
        <v>1.2390000000000001</v>
      </c>
    </row>
    <row r="551" spans="1:2" x14ac:dyDescent="0.3">
      <c r="A551" s="190">
        <v>43125</v>
      </c>
      <c r="B551" s="192">
        <v>1.2487999999999999</v>
      </c>
    </row>
    <row r="552" spans="1:2" x14ac:dyDescent="0.3">
      <c r="A552" s="190">
        <v>43126</v>
      </c>
      <c r="B552" s="192">
        <v>1.2422</v>
      </c>
    </row>
    <row r="553" spans="1:2" x14ac:dyDescent="0.3">
      <c r="A553" s="190">
        <v>43129</v>
      </c>
      <c r="B553" s="192">
        <v>1.2352000000000001</v>
      </c>
    </row>
    <row r="554" spans="1:2" x14ac:dyDescent="0.3">
      <c r="A554" s="190">
        <v>43130</v>
      </c>
      <c r="B554" s="192">
        <v>1.2390000000000001</v>
      </c>
    </row>
    <row r="555" spans="1:2" x14ac:dyDescent="0.3">
      <c r="A555" s="190">
        <v>43131</v>
      </c>
      <c r="B555" s="192">
        <v>1.2427999999999999</v>
      </c>
    </row>
    <row r="556" spans="1:2" x14ac:dyDescent="0.3">
      <c r="A556" s="190">
        <v>43132</v>
      </c>
      <c r="B556" s="192">
        <v>1.2482</v>
      </c>
    </row>
    <row r="557" spans="1:2" x14ac:dyDescent="0.3">
      <c r="A557" s="190">
        <v>43133</v>
      </c>
      <c r="B557" s="192">
        <v>1.2445999999999999</v>
      </c>
    </row>
    <row r="558" spans="1:2" x14ac:dyDescent="0.3">
      <c r="A558" s="190">
        <v>43136</v>
      </c>
      <c r="B558" s="192">
        <v>1.2418</v>
      </c>
    </row>
    <row r="559" spans="1:2" x14ac:dyDescent="0.3">
      <c r="A559" s="190">
        <v>43137</v>
      </c>
      <c r="B559" s="192">
        <v>1.2381</v>
      </c>
    </row>
    <row r="560" spans="1:2" x14ac:dyDescent="0.3">
      <c r="A560" s="190">
        <v>43138</v>
      </c>
      <c r="B560" s="192">
        <v>1.2281</v>
      </c>
    </row>
    <row r="561" spans="1:2" x14ac:dyDescent="0.3">
      <c r="A561" s="190">
        <v>43139</v>
      </c>
      <c r="B561" s="192">
        <v>1.2238</v>
      </c>
    </row>
    <row r="562" spans="1:2" x14ac:dyDescent="0.3">
      <c r="A562" s="190">
        <v>43140</v>
      </c>
      <c r="B562" s="192">
        <v>1.2225999999999999</v>
      </c>
    </row>
    <row r="563" spans="1:2" x14ac:dyDescent="0.3">
      <c r="A563" s="190">
        <v>43143</v>
      </c>
      <c r="B563" s="192">
        <v>1.2266999999999999</v>
      </c>
    </row>
    <row r="564" spans="1:2" x14ac:dyDescent="0.3">
      <c r="A564" s="190">
        <v>43144</v>
      </c>
      <c r="B564" s="192">
        <v>1.2363</v>
      </c>
    </row>
    <row r="565" spans="1:2" x14ac:dyDescent="0.3">
      <c r="A565" s="190">
        <v>43145</v>
      </c>
      <c r="B565" s="192">
        <v>1.2396</v>
      </c>
    </row>
    <row r="566" spans="1:2" x14ac:dyDescent="0.3">
      <c r="A566" s="190">
        <v>43146</v>
      </c>
      <c r="B566" s="192">
        <v>1.2482</v>
      </c>
    </row>
    <row r="567" spans="1:2" x14ac:dyDescent="0.3">
      <c r="A567" s="190">
        <v>43147</v>
      </c>
      <c r="B567" s="192">
        <v>1.2442</v>
      </c>
    </row>
    <row r="568" spans="1:2" x14ac:dyDescent="0.3">
      <c r="A568" s="190">
        <v>43150</v>
      </c>
      <c r="B568" s="191">
        <v>0</v>
      </c>
    </row>
    <row r="569" spans="1:2" x14ac:dyDescent="0.3">
      <c r="A569" s="190">
        <v>43151</v>
      </c>
      <c r="B569" s="192">
        <v>1.2347999999999999</v>
      </c>
    </row>
    <row r="570" spans="1:2" x14ac:dyDescent="0.3">
      <c r="A570" s="190">
        <v>43152</v>
      </c>
      <c r="B570" s="192">
        <v>1.2314000000000001</v>
      </c>
    </row>
    <row r="571" spans="1:2" x14ac:dyDescent="0.3">
      <c r="A571" s="190">
        <v>43153</v>
      </c>
      <c r="B571" s="192">
        <v>1.2325999999999999</v>
      </c>
    </row>
    <row r="572" spans="1:2" x14ac:dyDescent="0.3">
      <c r="A572" s="190">
        <v>43154</v>
      </c>
      <c r="B572" s="192">
        <v>1.2298</v>
      </c>
    </row>
    <row r="573" spans="1:2" x14ac:dyDescent="0.3">
      <c r="A573" s="190">
        <v>43157</v>
      </c>
      <c r="B573" s="192">
        <v>1.2296</v>
      </c>
    </row>
    <row r="574" spans="1:2" x14ac:dyDescent="0.3">
      <c r="A574" s="190">
        <v>43158</v>
      </c>
      <c r="B574" s="192">
        <v>1.2239</v>
      </c>
    </row>
    <row r="575" spans="1:2" x14ac:dyDescent="0.3">
      <c r="A575" s="190">
        <v>43159</v>
      </c>
      <c r="B575" s="192">
        <v>1.2211000000000001</v>
      </c>
    </row>
    <row r="576" spans="1:2" x14ac:dyDescent="0.3">
      <c r="A576" s="190">
        <v>43160</v>
      </c>
      <c r="B576" s="192">
        <v>1.2216</v>
      </c>
    </row>
    <row r="577" spans="1:2" x14ac:dyDescent="0.3">
      <c r="A577" s="190">
        <v>43161</v>
      </c>
      <c r="B577" s="192">
        <v>1.2314000000000001</v>
      </c>
    </row>
    <row r="578" spans="1:2" x14ac:dyDescent="0.3">
      <c r="A578" s="190">
        <v>43164</v>
      </c>
      <c r="B578" s="192">
        <v>1.2330000000000001</v>
      </c>
    </row>
    <row r="579" spans="1:2" x14ac:dyDescent="0.3">
      <c r="A579" s="190">
        <v>43165</v>
      </c>
      <c r="B579" s="192">
        <v>1.2415</v>
      </c>
    </row>
    <row r="580" spans="1:2" x14ac:dyDescent="0.3">
      <c r="A580" s="190">
        <v>43166</v>
      </c>
      <c r="B580" s="192">
        <v>1.2397</v>
      </c>
    </row>
    <row r="581" spans="1:2" x14ac:dyDescent="0.3">
      <c r="A581" s="190">
        <v>43167</v>
      </c>
      <c r="B581" s="192">
        <v>1.2314000000000001</v>
      </c>
    </row>
    <row r="582" spans="1:2" x14ac:dyDescent="0.3">
      <c r="A582" s="190">
        <v>43168</v>
      </c>
      <c r="B582" s="192">
        <v>1.2325999999999999</v>
      </c>
    </row>
    <row r="583" spans="1:2" x14ac:dyDescent="0.3">
      <c r="A583" s="190">
        <v>43171</v>
      </c>
      <c r="B583" s="192">
        <v>1.2318</v>
      </c>
    </row>
    <row r="584" spans="1:2" x14ac:dyDescent="0.3">
      <c r="A584" s="190">
        <v>43172</v>
      </c>
      <c r="B584" s="192">
        <v>1.2398</v>
      </c>
    </row>
    <row r="585" spans="1:2" x14ac:dyDescent="0.3">
      <c r="A585" s="190">
        <v>43173</v>
      </c>
      <c r="B585" s="192">
        <v>1.2362</v>
      </c>
    </row>
    <row r="586" spans="1:2" x14ac:dyDescent="0.3">
      <c r="A586" s="190">
        <v>43174</v>
      </c>
      <c r="B586" s="192">
        <v>1.2321</v>
      </c>
    </row>
    <row r="587" spans="1:2" x14ac:dyDescent="0.3">
      <c r="A587" s="190">
        <v>43175</v>
      </c>
      <c r="B587" s="192">
        <v>1.228</v>
      </c>
    </row>
    <row r="588" spans="1:2" x14ac:dyDescent="0.3">
      <c r="A588" s="190">
        <v>43178</v>
      </c>
      <c r="B588" s="192">
        <v>1.2329000000000001</v>
      </c>
    </row>
    <row r="589" spans="1:2" x14ac:dyDescent="0.3">
      <c r="A589" s="190">
        <v>43179</v>
      </c>
      <c r="B589" s="192">
        <v>1.2271000000000001</v>
      </c>
    </row>
    <row r="590" spans="1:2" x14ac:dyDescent="0.3">
      <c r="A590" s="190">
        <v>43180</v>
      </c>
      <c r="B590" s="192">
        <v>1.2267999999999999</v>
      </c>
    </row>
    <row r="591" spans="1:2" x14ac:dyDescent="0.3">
      <c r="A591" s="190">
        <v>43181</v>
      </c>
      <c r="B591" s="192">
        <v>1.2310000000000001</v>
      </c>
    </row>
    <row r="592" spans="1:2" x14ac:dyDescent="0.3">
      <c r="A592" s="190">
        <v>43182</v>
      </c>
      <c r="B592" s="192">
        <v>1.236</v>
      </c>
    </row>
    <row r="593" spans="1:2" x14ac:dyDescent="0.3">
      <c r="A593" s="190">
        <v>43185</v>
      </c>
      <c r="B593" s="192">
        <v>1.244</v>
      </c>
    </row>
    <row r="594" spans="1:2" x14ac:dyDescent="0.3">
      <c r="A594" s="190">
        <v>43186</v>
      </c>
      <c r="B594" s="192">
        <v>1.2410000000000001</v>
      </c>
    </row>
    <row r="595" spans="1:2" x14ac:dyDescent="0.3">
      <c r="A595" s="190">
        <v>43187</v>
      </c>
      <c r="B595" s="192">
        <v>1.2351000000000001</v>
      </c>
    </row>
    <row r="596" spans="1:2" x14ac:dyDescent="0.3">
      <c r="A596" s="190">
        <v>43188</v>
      </c>
      <c r="B596" s="192">
        <v>1.2297</v>
      </c>
    </row>
    <row r="597" spans="1:2" x14ac:dyDescent="0.3">
      <c r="A597" s="190">
        <v>43189</v>
      </c>
      <c r="B597" s="192">
        <v>1.232</v>
      </c>
    </row>
    <row r="598" spans="1:2" x14ac:dyDescent="0.3">
      <c r="A598" s="190">
        <v>43192</v>
      </c>
      <c r="B598" s="192">
        <v>1.2287999999999999</v>
      </c>
    </row>
    <row r="599" spans="1:2" x14ac:dyDescent="0.3">
      <c r="A599" s="190">
        <v>43193</v>
      </c>
      <c r="B599" s="192">
        <v>1.2261</v>
      </c>
    </row>
    <row r="600" spans="1:2" x14ac:dyDescent="0.3">
      <c r="A600" s="190">
        <v>43194</v>
      </c>
      <c r="B600" s="192">
        <v>1.2292000000000001</v>
      </c>
    </row>
    <row r="601" spans="1:2" x14ac:dyDescent="0.3">
      <c r="A601" s="190">
        <v>43195</v>
      </c>
      <c r="B601" s="192">
        <v>1.2230000000000001</v>
      </c>
    </row>
    <row r="602" spans="1:2" x14ac:dyDescent="0.3">
      <c r="A602" s="190">
        <v>43196</v>
      </c>
      <c r="B602" s="192">
        <v>1.2274</v>
      </c>
    </row>
    <row r="603" spans="1:2" x14ac:dyDescent="0.3">
      <c r="A603" s="190">
        <v>43199</v>
      </c>
      <c r="B603" s="192">
        <v>1.232</v>
      </c>
    </row>
    <row r="604" spans="1:2" x14ac:dyDescent="0.3">
      <c r="A604" s="190">
        <v>43200</v>
      </c>
      <c r="B604" s="192">
        <v>1.2338</v>
      </c>
    </row>
    <row r="605" spans="1:2" x14ac:dyDescent="0.3">
      <c r="A605" s="190">
        <v>43201</v>
      </c>
      <c r="B605" s="192">
        <v>1.2383999999999999</v>
      </c>
    </row>
    <row r="606" spans="1:2" x14ac:dyDescent="0.3">
      <c r="A606" s="190">
        <v>43202</v>
      </c>
      <c r="B606" s="192">
        <v>1.232</v>
      </c>
    </row>
    <row r="607" spans="1:2" x14ac:dyDescent="0.3">
      <c r="A607" s="190">
        <v>43203</v>
      </c>
      <c r="B607" s="192">
        <v>1.2322</v>
      </c>
    </row>
    <row r="608" spans="1:2" x14ac:dyDescent="0.3">
      <c r="A608" s="190">
        <v>43206</v>
      </c>
      <c r="B608" s="192">
        <v>1.2373000000000001</v>
      </c>
    </row>
    <row r="609" spans="1:2" x14ac:dyDescent="0.3">
      <c r="A609" s="190">
        <v>43207</v>
      </c>
      <c r="B609" s="192">
        <v>1.2344999999999999</v>
      </c>
    </row>
    <row r="610" spans="1:2" x14ac:dyDescent="0.3">
      <c r="A610" s="190">
        <v>43208</v>
      </c>
      <c r="B610" s="192">
        <v>1.238</v>
      </c>
    </row>
    <row r="611" spans="1:2" x14ac:dyDescent="0.3">
      <c r="A611" s="190">
        <v>43209</v>
      </c>
      <c r="B611" s="192">
        <v>1.2336</v>
      </c>
    </row>
    <row r="612" spans="1:2" x14ac:dyDescent="0.3">
      <c r="A612" s="190">
        <v>43210</v>
      </c>
      <c r="B612" s="192">
        <v>1.2282</v>
      </c>
    </row>
    <row r="613" spans="1:2" x14ac:dyDescent="0.3">
      <c r="A613" s="190">
        <v>43213</v>
      </c>
      <c r="B613" s="192">
        <v>1.2216</v>
      </c>
    </row>
    <row r="614" spans="1:2" x14ac:dyDescent="0.3">
      <c r="A614" s="190">
        <v>43214</v>
      </c>
      <c r="B614" s="192">
        <v>1.2225999999999999</v>
      </c>
    </row>
    <row r="615" spans="1:2" x14ac:dyDescent="0.3">
      <c r="A615" s="190">
        <v>43215</v>
      </c>
      <c r="B615" s="192">
        <v>1.2178</v>
      </c>
    </row>
    <row r="616" spans="1:2" x14ac:dyDescent="0.3">
      <c r="A616" s="190">
        <v>43216</v>
      </c>
      <c r="B616" s="192">
        <v>1.2113</v>
      </c>
    </row>
    <row r="617" spans="1:2" x14ac:dyDescent="0.3">
      <c r="A617" s="190">
        <v>43217</v>
      </c>
      <c r="B617" s="192">
        <v>1.2108000000000001</v>
      </c>
    </row>
    <row r="618" spans="1:2" x14ac:dyDescent="0.3">
      <c r="A618" s="190">
        <v>43220</v>
      </c>
      <c r="B618" s="192">
        <v>1.2074</v>
      </c>
    </row>
    <row r="619" spans="1:2" x14ac:dyDescent="0.3">
      <c r="A619" s="190">
        <v>43221</v>
      </c>
      <c r="B619" s="192">
        <v>1.2</v>
      </c>
    </row>
    <row r="620" spans="1:2" x14ac:dyDescent="0.3">
      <c r="A620" s="190">
        <v>43222</v>
      </c>
      <c r="B620" s="192">
        <v>1.1968000000000001</v>
      </c>
    </row>
    <row r="621" spans="1:2" x14ac:dyDescent="0.3">
      <c r="A621" s="190">
        <v>43223</v>
      </c>
      <c r="B621" s="192">
        <v>1.1970000000000001</v>
      </c>
    </row>
    <row r="622" spans="1:2" x14ac:dyDescent="0.3">
      <c r="A622" s="190">
        <v>43224</v>
      </c>
      <c r="B622" s="192">
        <v>1.1946000000000001</v>
      </c>
    </row>
    <row r="623" spans="1:2" x14ac:dyDescent="0.3">
      <c r="A623" s="190">
        <v>43227</v>
      </c>
      <c r="B623" s="192">
        <v>1.1927000000000001</v>
      </c>
    </row>
    <row r="624" spans="1:2" x14ac:dyDescent="0.3">
      <c r="A624" s="190">
        <v>43228</v>
      </c>
      <c r="B624" s="192">
        <v>1.1862999999999999</v>
      </c>
    </row>
    <row r="625" spans="1:2" x14ac:dyDescent="0.3">
      <c r="A625" s="190">
        <v>43229</v>
      </c>
      <c r="B625" s="192">
        <v>1.1852</v>
      </c>
    </row>
    <row r="626" spans="1:2" x14ac:dyDescent="0.3">
      <c r="A626" s="190">
        <v>43230</v>
      </c>
      <c r="B626" s="192">
        <v>1.1896</v>
      </c>
    </row>
    <row r="627" spans="1:2" x14ac:dyDescent="0.3">
      <c r="A627" s="190">
        <v>43231</v>
      </c>
      <c r="B627" s="192">
        <v>1.1951000000000001</v>
      </c>
    </row>
    <row r="628" spans="1:2" x14ac:dyDescent="0.3">
      <c r="A628" s="190">
        <v>43234</v>
      </c>
      <c r="B628" s="192">
        <v>1.1976</v>
      </c>
    </row>
    <row r="629" spans="1:2" x14ac:dyDescent="0.3">
      <c r="A629" s="190">
        <v>43235</v>
      </c>
      <c r="B629" s="192">
        <v>1.1863999999999999</v>
      </c>
    </row>
    <row r="630" spans="1:2" x14ac:dyDescent="0.3">
      <c r="A630" s="190">
        <v>43236</v>
      </c>
      <c r="B630" s="192">
        <v>1.1788000000000001</v>
      </c>
    </row>
    <row r="631" spans="1:2" x14ac:dyDescent="0.3">
      <c r="A631" s="190">
        <v>43237</v>
      </c>
      <c r="B631" s="192">
        <v>1.1798</v>
      </c>
    </row>
    <row r="632" spans="1:2" x14ac:dyDescent="0.3">
      <c r="A632" s="190">
        <v>43238</v>
      </c>
      <c r="B632" s="192">
        <v>1.1775</v>
      </c>
    </row>
    <row r="633" spans="1:2" x14ac:dyDescent="0.3">
      <c r="A633" s="190">
        <v>43241</v>
      </c>
      <c r="B633" s="192">
        <v>1.1768000000000001</v>
      </c>
    </row>
    <row r="634" spans="1:2" x14ac:dyDescent="0.3">
      <c r="A634" s="190">
        <v>43242</v>
      </c>
      <c r="B634" s="192">
        <v>1.1782999999999999</v>
      </c>
    </row>
    <row r="635" spans="1:2" x14ac:dyDescent="0.3">
      <c r="A635" s="190">
        <v>43243</v>
      </c>
      <c r="B635" s="192">
        <v>1.1693</v>
      </c>
    </row>
    <row r="636" spans="1:2" x14ac:dyDescent="0.3">
      <c r="A636" s="190">
        <v>43244</v>
      </c>
      <c r="B636" s="192">
        <v>1.1729000000000001</v>
      </c>
    </row>
    <row r="637" spans="1:2" x14ac:dyDescent="0.3">
      <c r="A637" s="190">
        <v>43245</v>
      </c>
      <c r="B637" s="192">
        <v>1.1666000000000001</v>
      </c>
    </row>
    <row r="638" spans="1:2" x14ac:dyDescent="0.3">
      <c r="A638" s="190">
        <v>43248</v>
      </c>
      <c r="B638" s="191">
        <v>0</v>
      </c>
    </row>
    <row r="639" spans="1:2" x14ac:dyDescent="0.3">
      <c r="A639" s="190">
        <v>43249</v>
      </c>
      <c r="B639" s="192">
        <v>1.1551</v>
      </c>
    </row>
    <row r="640" spans="1:2" x14ac:dyDescent="0.3">
      <c r="A640" s="190">
        <v>43250</v>
      </c>
      <c r="B640" s="192">
        <v>1.1664000000000001</v>
      </c>
    </row>
    <row r="641" spans="1:2" x14ac:dyDescent="0.3">
      <c r="A641" s="190">
        <v>43251</v>
      </c>
      <c r="B641" s="192">
        <v>1.167</v>
      </c>
    </row>
    <row r="642" spans="1:2" x14ac:dyDescent="0.3">
      <c r="A642" s="190">
        <v>43252</v>
      </c>
      <c r="B642" s="192">
        <v>1.1678999999999999</v>
      </c>
    </row>
    <row r="643" spans="1:2" x14ac:dyDescent="0.3">
      <c r="A643" s="190">
        <v>43255</v>
      </c>
      <c r="B643" s="192">
        <v>1.1696</v>
      </c>
    </row>
    <row r="644" spans="1:2" x14ac:dyDescent="0.3">
      <c r="A644" s="190">
        <v>43256</v>
      </c>
      <c r="B644" s="192">
        <v>1.1672</v>
      </c>
    </row>
    <row r="645" spans="1:2" x14ac:dyDescent="0.3">
      <c r="A645" s="190">
        <v>43257</v>
      </c>
      <c r="B645" s="192">
        <v>1.1778</v>
      </c>
    </row>
    <row r="646" spans="1:2" x14ac:dyDescent="0.3">
      <c r="A646" s="190">
        <v>43258</v>
      </c>
      <c r="B646" s="192">
        <v>1.1815</v>
      </c>
    </row>
    <row r="647" spans="1:2" x14ac:dyDescent="0.3">
      <c r="A647" s="190">
        <v>43259</v>
      </c>
      <c r="B647" s="192">
        <v>1.1773</v>
      </c>
    </row>
    <row r="648" spans="1:2" x14ac:dyDescent="0.3">
      <c r="A648" s="190">
        <v>43262</v>
      </c>
      <c r="B648" s="192">
        <v>1.1801999999999999</v>
      </c>
    </row>
    <row r="649" spans="1:2" x14ac:dyDescent="0.3">
      <c r="A649" s="190">
        <v>43263</v>
      </c>
      <c r="B649" s="192">
        <v>1.1792</v>
      </c>
    </row>
    <row r="650" spans="1:2" x14ac:dyDescent="0.3">
      <c r="A650" s="190">
        <v>43264</v>
      </c>
      <c r="B650" s="192">
        <v>1.1783999999999999</v>
      </c>
    </row>
    <row r="651" spans="1:2" x14ac:dyDescent="0.3">
      <c r="A651" s="190">
        <v>43265</v>
      </c>
      <c r="B651" s="192">
        <v>1.1634</v>
      </c>
    </row>
    <row r="652" spans="1:2" x14ac:dyDescent="0.3">
      <c r="A652" s="190">
        <v>43266</v>
      </c>
      <c r="B652" s="192">
        <v>1.1616</v>
      </c>
    </row>
    <row r="653" spans="1:2" x14ac:dyDescent="0.3">
      <c r="A653" s="190">
        <v>43269</v>
      </c>
      <c r="B653" s="192">
        <v>1.1606000000000001</v>
      </c>
    </row>
    <row r="654" spans="1:2" x14ac:dyDescent="0.3">
      <c r="A654" s="190">
        <v>43270</v>
      </c>
      <c r="B654" s="192">
        <v>1.1577</v>
      </c>
    </row>
    <row r="655" spans="1:2" x14ac:dyDescent="0.3">
      <c r="A655" s="190">
        <v>43271</v>
      </c>
      <c r="B655" s="192">
        <v>1.1592</v>
      </c>
    </row>
    <row r="656" spans="1:2" x14ac:dyDescent="0.3">
      <c r="A656" s="190">
        <v>43272</v>
      </c>
      <c r="B656" s="192">
        <v>1.1599999999999999</v>
      </c>
    </row>
    <row r="657" spans="1:2" x14ac:dyDescent="0.3">
      <c r="A657" s="190">
        <v>43273</v>
      </c>
      <c r="B657" s="192">
        <v>1.163</v>
      </c>
    </row>
    <row r="658" spans="1:2" x14ac:dyDescent="0.3">
      <c r="A658" s="190">
        <v>43276</v>
      </c>
      <c r="B658" s="192">
        <v>1.1694</v>
      </c>
    </row>
    <row r="659" spans="1:2" x14ac:dyDescent="0.3">
      <c r="A659" s="190">
        <v>43277</v>
      </c>
      <c r="B659" s="192">
        <v>1.1675</v>
      </c>
    </row>
    <row r="660" spans="1:2" x14ac:dyDescent="0.3">
      <c r="A660" s="190">
        <v>43278</v>
      </c>
      <c r="B660" s="192">
        <v>1.1588000000000001</v>
      </c>
    </row>
    <row r="661" spans="1:2" x14ac:dyDescent="0.3">
      <c r="A661" s="190">
        <v>43279</v>
      </c>
      <c r="B661" s="192">
        <v>1.1581999999999999</v>
      </c>
    </row>
    <row r="662" spans="1:2" x14ac:dyDescent="0.3">
      <c r="A662" s="190">
        <v>43280</v>
      </c>
      <c r="B662" s="192">
        <v>1.1677</v>
      </c>
    </row>
    <row r="663" spans="1:2" x14ac:dyDescent="0.3">
      <c r="A663" s="190">
        <v>43283</v>
      </c>
      <c r="B663" s="192">
        <v>1.1604000000000001</v>
      </c>
    </row>
    <row r="664" spans="1:2" x14ac:dyDescent="0.3">
      <c r="A664" s="190">
        <v>43284</v>
      </c>
      <c r="B664" s="192">
        <v>1.1653</v>
      </c>
    </row>
    <row r="665" spans="1:2" x14ac:dyDescent="0.3">
      <c r="A665" s="190">
        <v>43285</v>
      </c>
      <c r="B665" s="191">
        <v>0</v>
      </c>
    </row>
    <row r="666" spans="1:2" x14ac:dyDescent="0.3">
      <c r="A666" s="190">
        <v>43286</v>
      </c>
      <c r="B666" s="192">
        <v>1.1697</v>
      </c>
    </row>
    <row r="667" spans="1:2" x14ac:dyDescent="0.3">
      <c r="A667" s="190">
        <v>43287</v>
      </c>
      <c r="B667" s="192">
        <v>1.1738</v>
      </c>
    </row>
    <row r="668" spans="1:2" x14ac:dyDescent="0.3">
      <c r="A668" s="190">
        <v>43290</v>
      </c>
      <c r="B668" s="192">
        <v>1.1744000000000001</v>
      </c>
    </row>
    <row r="669" spans="1:2" x14ac:dyDescent="0.3">
      <c r="A669" s="190">
        <v>43291</v>
      </c>
      <c r="B669" s="192">
        <v>1.1728000000000001</v>
      </c>
    </row>
    <row r="670" spans="1:2" x14ac:dyDescent="0.3">
      <c r="A670" s="190">
        <v>43292</v>
      </c>
      <c r="B670" s="192">
        <v>1.1721999999999999</v>
      </c>
    </row>
    <row r="671" spans="1:2" x14ac:dyDescent="0.3">
      <c r="A671" s="190">
        <v>43293</v>
      </c>
      <c r="B671" s="192">
        <v>1.1692</v>
      </c>
    </row>
    <row r="672" spans="1:2" x14ac:dyDescent="0.3">
      <c r="A672" s="190">
        <v>43294</v>
      </c>
      <c r="B672" s="192">
        <v>1.1667000000000001</v>
      </c>
    </row>
    <row r="673" spans="1:2" x14ac:dyDescent="0.3">
      <c r="A673" s="190">
        <v>43297</v>
      </c>
      <c r="B673" s="192">
        <v>1.171</v>
      </c>
    </row>
    <row r="674" spans="1:2" x14ac:dyDescent="0.3">
      <c r="A674" s="190">
        <v>43298</v>
      </c>
      <c r="B674" s="192">
        <v>1.1664000000000001</v>
      </c>
    </row>
    <row r="675" spans="1:2" x14ac:dyDescent="0.3">
      <c r="A675" s="190">
        <v>43299</v>
      </c>
      <c r="B675" s="192">
        <v>1.1645000000000001</v>
      </c>
    </row>
    <row r="676" spans="1:2" x14ac:dyDescent="0.3">
      <c r="A676" s="190">
        <v>43300</v>
      </c>
      <c r="B676" s="192">
        <v>1.1604000000000001</v>
      </c>
    </row>
    <row r="677" spans="1:2" x14ac:dyDescent="0.3">
      <c r="A677" s="190">
        <v>43301</v>
      </c>
      <c r="B677" s="192">
        <v>1.1708000000000001</v>
      </c>
    </row>
    <row r="678" spans="1:2" x14ac:dyDescent="0.3">
      <c r="A678" s="190">
        <v>43304</v>
      </c>
      <c r="B678" s="192">
        <v>1.1701999999999999</v>
      </c>
    </row>
    <row r="679" spans="1:2" x14ac:dyDescent="0.3">
      <c r="A679" s="190">
        <v>43305</v>
      </c>
      <c r="B679" s="192">
        <v>1.1684000000000001</v>
      </c>
    </row>
    <row r="680" spans="1:2" x14ac:dyDescent="0.3">
      <c r="A680" s="190">
        <v>43306</v>
      </c>
      <c r="B680" s="192">
        <v>1.1677</v>
      </c>
    </row>
    <row r="681" spans="1:2" x14ac:dyDescent="0.3">
      <c r="A681" s="190">
        <v>43307</v>
      </c>
      <c r="B681" s="192">
        <v>1.1654</v>
      </c>
    </row>
    <row r="682" spans="1:2" x14ac:dyDescent="0.3">
      <c r="A682" s="190">
        <v>43308</v>
      </c>
      <c r="B682" s="192">
        <v>1.1659999999999999</v>
      </c>
    </row>
    <row r="683" spans="1:2" x14ac:dyDescent="0.3">
      <c r="A683" s="190">
        <v>43311</v>
      </c>
      <c r="B683" s="192">
        <v>1.1718</v>
      </c>
    </row>
    <row r="684" spans="1:2" x14ac:dyDescent="0.3">
      <c r="A684" s="190">
        <v>43312</v>
      </c>
      <c r="B684" s="192">
        <v>1.1706000000000001</v>
      </c>
    </row>
    <row r="685" spans="1:2" x14ac:dyDescent="0.3">
      <c r="A685" s="190">
        <v>43313</v>
      </c>
      <c r="B685" s="192">
        <v>1.1666000000000001</v>
      </c>
    </row>
    <row r="686" spans="1:2" x14ac:dyDescent="0.3">
      <c r="A686" s="190">
        <v>43314</v>
      </c>
      <c r="B686" s="192">
        <v>1.1612</v>
      </c>
    </row>
    <row r="687" spans="1:2" x14ac:dyDescent="0.3">
      <c r="A687" s="190">
        <v>43315</v>
      </c>
      <c r="B687" s="192">
        <v>1.1597</v>
      </c>
    </row>
    <row r="688" spans="1:2" x14ac:dyDescent="0.3">
      <c r="A688" s="190">
        <v>43318</v>
      </c>
      <c r="B688" s="192">
        <v>1.1564000000000001</v>
      </c>
    </row>
    <row r="689" spans="1:2" x14ac:dyDescent="0.3">
      <c r="A689" s="190">
        <v>43319</v>
      </c>
      <c r="B689" s="192">
        <v>1.1597</v>
      </c>
    </row>
    <row r="690" spans="1:2" x14ac:dyDescent="0.3">
      <c r="A690" s="190">
        <v>43320</v>
      </c>
      <c r="B690" s="192">
        <v>1.1597999999999999</v>
      </c>
    </row>
    <row r="691" spans="1:2" x14ac:dyDescent="0.3">
      <c r="A691" s="190">
        <v>43321</v>
      </c>
      <c r="B691" s="192">
        <v>1.1566000000000001</v>
      </c>
    </row>
    <row r="692" spans="1:2" x14ac:dyDescent="0.3">
      <c r="A692" s="190">
        <v>43322</v>
      </c>
      <c r="B692" s="192">
        <v>1.1398999999999999</v>
      </c>
    </row>
    <row r="693" spans="1:2" x14ac:dyDescent="0.3">
      <c r="A693" s="190">
        <v>43325</v>
      </c>
      <c r="B693" s="192">
        <v>1.1395999999999999</v>
      </c>
    </row>
    <row r="694" spans="1:2" x14ac:dyDescent="0.3">
      <c r="A694" s="190">
        <v>43326</v>
      </c>
      <c r="B694" s="192">
        <v>1.1351</v>
      </c>
    </row>
    <row r="695" spans="1:2" x14ac:dyDescent="0.3">
      <c r="A695" s="190">
        <v>43327</v>
      </c>
      <c r="B695" s="192">
        <v>1.1332</v>
      </c>
    </row>
    <row r="696" spans="1:2" x14ac:dyDescent="0.3">
      <c r="A696" s="190">
        <v>43328</v>
      </c>
      <c r="B696" s="192">
        <v>1.1388</v>
      </c>
    </row>
    <row r="697" spans="1:2" x14ac:dyDescent="0.3">
      <c r="A697" s="190">
        <v>43329</v>
      </c>
      <c r="B697" s="192">
        <v>1.141</v>
      </c>
    </row>
    <row r="698" spans="1:2" x14ac:dyDescent="0.3">
      <c r="A698" s="190">
        <v>43332</v>
      </c>
      <c r="B698" s="192">
        <v>1.1437999999999999</v>
      </c>
    </row>
    <row r="699" spans="1:2" x14ac:dyDescent="0.3">
      <c r="A699" s="190">
        <v>43333</v>
      </c>
      <c r="B699" s="192">
        <v>1.1534</v>
      </c>
    </row>
    <row r="700" spans="1:2" x14ac:dyDescent="0.3">
      <c r="A700" s="190">
        <v>43334</v>
      </c>
      <c r="B700" s="192">
        <v>1.1595</v>
      </c>
    </row>
    <row r="701" spans="1:2" x14ac:dyDescent="0.3">
      <c r="A701" s="190">
        <v>43335</v>
      </c>
      <c r="B701" s="192">
        <v>1.1567000000000001</v>
      </c>
    </row>
    <row r="702" spans="1:2" x14ac:dyDescent="0.3">
      <c r="A702" s="190">
        <v>43336</v>
      </c>
      <c r="B702" s="192">
        <v>1.1625000000000001</v>
      </c>
    </row>
    <row r="703" spans="1:2" x14ac:dyDescent="0.3">
      <c r="A703" s="190">
        <v>43339</v>
      </c>
      <c r="B703" s="192">
        <v>1.1676</v>
      </c>
    </row>
    <row r="704" spans="1:2" x14ac:dyDescent="0.3">
      <c r="A704" s="190">
        <v>43340</v>
      </c>
      <c r="B704" s="192">
        <v>1.1719999999999999</v>
      </c>
    </row>
    <row r="705" spans="1:2" x14ac:dyDescent="0.3">
      <c r="A705" s="190">
        <v>43341</v>
      </c>
      <c r="B705" s="192">
        <v>1.1698999999999999</v>
      </c>
    </row>
    <row r="706" spans="1:2" x14ac:dyDescent="0.3">
      <c r="A706" s="190">
        <v>43342</v>
      </c>
      <c r="B706" s="192">
        <v>1.1646000000000001</v>
      </c>
    </row>
    <row r="707" spans="1:2" x14ac:dyDescent="0.3">
      <c r="A707" s="190">
        <v>43343</v>
      </c>
      <c r="B707" s="192">
        <v>1.1596</v>
      </c>
    </row>
    <row r="708" spans="1:2" x14ac:dyDescent="0.3">
      <c r="A708" s="190">
        <v>43346</v>
      </c>
      <c r="B708" s="191">
        <v>0</v>
      </c>
    </row>
    <row r="709" spans="1:2" x14ac:dyDescent="0.3">
      <c r="A709" s="190">
        <v>43347</v>
      </c>
      <c r="B709" s="192">
        <v>1.1566000000000001</v>
      </c>
    </row>
    <row r="710" spans="1:2" x14ac:dyDescent="0.3">
      <c r="A710" s="190">
        <v>43348</v>
      </c>
      <c r="B710" s="192">
        <v>1.1619999999999999</v>
      </c>
    </row>
    <row r="711" spans="1:2" x14ac:dyDescent="0.3">
      <c r="A711" s="190">
        <v>43349</v>
      </c>
      <c r="B711" s="192">
        <v>1.1624000000000001</v>
      </c>
    </row>
    <row r="712" spans="1:2" x14ac:dyDescent="0.3">
      <c r="A712" s="190">
        <v>43350</v>
      </c>
      <c r="B712" s="192">
        <v>1.1572</v>
      </c>
    </row>
    <row r="713" spans="1:2" x14ac:dyDescent="0.3">
      <c r="A713" s="190">
        <v>43353</v>
      </c>
      <c r="B713" s="192">
        <v>1.1604000000000001</v>
      </c>
    </row>
    <row r="714" spans="1:2" x14ac:dyDescent="0.3">
      <c r="A714" s="190">
        <v>43354</v>
      </c>
      <c r="B714" s="192">
        <v>1.1591</v>
      </c>
    </row>
    <row r="715" spans="1:2" x14ac:dyDescent="0.3">
      <c r="A715" s="190">
        <v>43355</v>
      </c>
      <c r="B715" s="192">
        <v>1.1626000000000001</v>
      </c>
    </row>
    <row r="716" spans="1:2" x14ac:dyDescent="0.3">
      <c r="A716" s="190">
        <v>43356</v>
      </c>
      <c r="B716" s="192">
        <v>1.1672</v>
      </c>
    </row>
    <row r="717" spans="1:2" x14ac:dyDescent="0.3">
      <c r="A717" s="190">
        <v>43357</v>
      </c>
      <c r="B717" s="192">
        <v>1.1656</v>
      </c>
    </row>
    <row r="718" spans="1:2" x14ac:dyDescent="0.3">
      <c r="A718" s="190">
        <v>43360</v>
      </c>
      <c r="B718" s="192">
        <v>1.1687000000000001</v>
      </c>
    </row>
    <row r="719" spans="1:2" x14ac:dyDescent="0.3">
      <c r="A719" s="190">
        <v>43361</v>
      </c>
      <c r="B719" s="192">
        <v>1.1693</v>
      </c>
    </row>
    <row r="720" spans="1:2" x14ac:dyDescent="0.3">
      <c r="A720" s="190">
        <v>43362</v>
      </c>
      <c r="B720" s="192">
        <v>1.1685000000000001</v>
      </c>
    </row>
    <row r="721" spans="1:2" x14ac:dyDescent="0.3">
      <c r="A721" s="190">
        <v>43363</v>
      </c>
      <c r="B721" s="192">
        <v>1.1744000000000001</v>
      </c>
    </row>
    <row r="722" spans="1:2" x14ac:dyDescent="0.3">
      <c r="A722" s="190">
        <v>43364</v>
      </c>
      <c r="B722" s="192">
        <v>1.1738999999999999</v>
      </c>
    </row>
    <row r="723" spans="1:2" x14ac:dyDescent="0.3">
      <c r="A723" s="190">
        <v>43367</v>
      </c>
      <c r="B723" s="192">
        <v>1.1773</v>
      </c>
    </row>
    <row r="724" spans="1:2" x14ac:dyDescent="0.3">
      <c r="A724" s="190">
        <v>43368</v>
      </c>
      <c r="B724" s="192">
        <v>1.177</v>
      </c>
    </row>
    <row r="725" spans="1:2" x14ac:dyDescent="0.3">
      <c r="A725" s="190">
        <v>43369</v>
      </c>
      <c r="B725" s="192">
        <v>1.1758</v>
      </c>
    </row>
    <row r="726" spans="1:2" x14ac:dyDescent="0.3">
      <c r="A726" s="190">
        <v>43370</v>
      </c>
      <c r="B726" s="192">
        <v>1.167</v>
      </c>
    </row>
    <row r="727" spans="1:2" x14ac:dyDescent="0.3">
      <c r="A727" s="190">
        <v>43371</v>
      </c>
      <c r="B727" s="192">
        <v>1.1621999999999999</v>
      </c>
    </row>
    <row r="728" spans="1:2" x14ac:dyDescent="0.3">
      <c r="A728" s="190">
        <v>43374</v>
      </c>
      <c r="B728" s="192">
        <v>1.1567000000000001</v>
      </c>
    </row>
    <row r="729" spans="1:2" x14ac:dyDescent="0.3">
      <c r="A729" s="190">
        <v>43375</v>
      </c>
      <c r="B729" s="192">
        <v>1.1559999999999999</v>
      </c>
    </row>
    <row r="730" spans="1:2" x14ac:dyDescent="0.3">
      <c r="A730" s="190">
        <v>43376</v>
      </c>
      <c r="B730" s="192">
        <v>1.1525000000000001</v>
      </c>
    </row>
    <row r="731" spans="1:2" x14ac:dyDescent="0.3">
      <c r="A731" s="190">
        <v>43377</v>
      </c>
      <c r="B731" s="192">
        <v>1.1508</v>
      </c>
    </row>
    <row r="732" spans="1:2" x14ac:dyDescent="0.3">
      <c r="A732" s="190">
        <v>43378</v>
      </c>
      <c r="B732" s="192">
        <v>1.1501999999999999</v>
      </c>
    </row>
    <row r="733" spans="1:2" x14ac:dyDescent="0.3">
      <c r="A733" s="190">
        <v>43381</v>
      </c>
      <c r="B733" s="191">
        <v>0</v>
      </c>
    </row>
    <row r="734" spans="1:2" x14ac:dyDescent="0.3">
      <c r="A734" s="190">
        <v>43382</v>
      </c>
      <c r="B734" s="192">
        <v>1.1482000000000001</v>
      </c>
    </row>
    <row r="735" spans="1:2" x14ac:dyDescent="0.3">
      <c r="A735" s="190">
        <v>43383</v>
      </c>
      <c r="B735" s="192">
        <v>1.1540999999999999</v>
      </c>
    </row>
    <row r="736" spans="1:2" x14ac:dyDescent="0.3">
      <c r="A736" s="190">
        <v>43384</v>
      </c>
      <c r="B736" s="192">
        <v>1.1565000000000001</v>
      </c>
    </row>
    <row r="737" spans="1:2" x14ac:dyDescent="0.3">
      <c r="A737" s="190">
        <v>43385</v>
      </c>
      <c r="B737" s="192">
        <v>1.1558999999999999</v>
      </c>
    </row>
    <row r="738" spans="1:2" x14ac:dyDescent="0.3">
      <c r="A738" s="190">
        <v>43388</v>
      </c>
      <c r="B738" s="192">
        <v>1.1594</v>
      </c>
    </row>
    <row r="739" spans="1:2" x14ac:dyDescent="0.3">
      <c r="A739" s="190">
        <v>43389</v>
      </c>
      <c r="B739" s="192">
        <v>1.1593</v>
      </c>
    </row>
    <row r="740" spans="1:2" x14ac:dyDescent="0.3">
      <c r="A740" s="190">
        <v>43390</v>
      </c>
      <c r="B740" s="192">
        <v>1.1539999999999999</v>
      </c>
    </row>
    <row r="741" spans="1:2" x14ac:dyDescent="0.3">
      <c r="A741" s="190">
        <v>43391</v>
      </c>
      <c r="B741" s="192">
        <v>1.1494</v>
      </c>
    </row>
    <row r="742" spans="1:2" x14ac:dyDescent="0.3">
      <c r="A742" s="190">
        <v>43392</v>
      </c>
      <c r="B742" s="192">
        <v>1.1513</v>
      </c>
    </row>
    <row r="743" spans="1:2" x14ac:dyDescent="0.3">
      <c r="A743" s="190">
        <v>43395</v>
      </c>
      <c r="B743" s="192">
        <v>1.1467000000000001</v>
      </c>
    </row>
    <row r="744" spans="1:2" x14ac:dyDescent="0.3">
      <c r="A744" s="190">
        <v>43396</v>
      </c>
      <c r="B744" s="192">
        <v>1.1479999999999999</v>
      </c>
    </row>
    <row r="745" spans="1:2" x14ac:dyDescent="0.3">
      <c r="A745" s="190">
        <v>43397</v>
      </c>
      <c r="B745" s="192">
        <v>1.1389</v>
      </c>
    </row>
    <row r="746" spans="1:2" x14ac:dyDescent="0.3">
      <c r="A746" s="190">
        <v>43398</v>
      </c>
      <c r="B746" s="192">
        <v>1.1374</v>
      </c>
    </row>
    <row r="747" spans="1:2" x14ac:dyDescent="0.3">
      <c r="A747" s="190">
        <v>43399</v>
      </c>
      <c r="B747" s="192">
        <v>1.1388</v>
      </c>
    </row>
    <row r="748" spans="1:2" x14ac:dyDescent="0.3">
      <c r="A748" s="190">
        <v>43402</v>
      </c>
      <c r="B748" s="192">
        <v>1.139</v>
      </c>
    </row>
    <row r="749" spans="1:2" x14ac:dyDescent="0.3">
      <c r="A749" s="190">
        <v>43403</v>
      </c>
      <c r="B749" s="192">
        <v>1.1364000000000001</v>
      </c>
    </row>
    <row r="750" spans="1:2" x14ac:dyDescent="0.3">
      <c r="A750" s="190">
        <v>43404</v>
      </c>
      <c r="B750" s="192">
        <v>1.1332</v>
      </c>
    </row>
    <row r="751" spans="1:2" x14ac:dyDescent="0.3">
      <c r="A751" s="190">
        <v>43405</v>
      </c>
      <c r="B751" s="192">
        <v>1.1395999999999999</v>
      </c>
    </row>
    <row r="752" spans="1:2" x14ac:dyDescent="0.3">
      <c r="A752" s="190">
        <v>43406</v>
      </c>
      <c r="B752" s="192">
        <v>1.1377999999999999</v>
      </c>
    </row>
    <row r="753" spans="1:2" x14ac:dyDescent="0.3">
      <c r="A753" s="190">
        <v>43409</v>
      </c>
      <c r="B753" s="192">
        <v>1.1394</v>
      </c>
    </row>
    <row r="754" spans="1:2" x14ac:dyDescent="0.3">
      <c r="A754" s="190">
        <v>43410</v>
      </c>
      <c r="B754" s="192">
        <v>1.1412</v>
      </c>
    </row>
    <row r="755" spans="1:2" x14ac:dyDescent="0.3">
      <c r="A755" s="190">
        <v>43411</v>
      </c>
      <c r="B755" s="192">
        <v>1.1458999999999999</v>
      </c>
    </row>
    <row r="756" spans="1:2" x14ac:dyDescent="0.3">
      <c r="A756" s="190">
        <v>43412</v>
      </c>
      <c r="B756" s="192">
        <v>1.1415999999999999</v>
      </c>
    </row>
    <row r="757" spans="1:2" x14ac:dyDescent="0.3">
      <c r="A757" s="190">
        <v>43413</v>
      </c>
      <c r="B757" s="192">
        <v>1.1325000000000001</v>
      </c>
    </row>
    <row r="758" spans="1:2" x14ac:dyDescent="0.3">
      <c r="A758" s="190">
        <v>43416</v>
      </c>
      <c r="B758" s="191">
        <v>0</v>
      </c>
    </row>
    <row r="759" spans="1:2" x14ac:dyDescent="0.3">
      <c r="A759" s="190">
        <v>43417</v>
      </c>
      <c r="B759" s="192">
        <v>1.1288</v>
      </c>
    </row>
    <row r="760" spans="1:2" x14ac:dyDescent="0.3">
      <c r="A760" s="190">
        <v>43418</v>
      </c>
      <c r="B760" s="192">
        <v>1.1312</v>
      </c>
    </row>
    <row r="761" spans="1:2" x14ac:dyDescent="0.3">
      <c r="A761" s="190">
        <v>43419</v>
      </c>
      <c r="B761" s="192">
        <v>1.1324000000000001</v>
      </c>
    </row>
    <row r="762" spans="1:2" x14ac:dyDescent="0.3">
      <c r="A762" s="190">
        <v>43420</v>
      </c>
      <c r="B762" s="192">
        <v>1.1402000000000001</v>
      </c>
    </row>
    <row r="763" spans="1:2" x14ac:dyDescent="0.3">
      <c r="A763" s="190">
        <v>43423</v>
      </c>
      <c r="B763" s="192">
        <v>1.1448</v>
      </c>
    </row>
    <row r="764" spans="1:2" x14ac:dyDescent="0.3">
      <c r="A764" s="190">
        <v>43424</v>
      </c>
      <c r="B764" s="192">
        <v>1.1391</v>
      </c>
    </row>
    <row r="765" spans="1:2" x14ac:dyDescent="0.3">
      <c r="A765" s="190">
        <v>43425</v>
      </c>
      <c r="B765" s="192">
        <v>1.1393</v>
      </c>
    </row>
    <row r="766" spans="1:2" x14ac:dyDescent="0.3">
      <c r="A766" s="190">
        <v>43426</v>
      </c>
      <c r="B766" s="191">
        <v>0</v>
      </c>
    </row>
    <row r="767" spans="1:2" x14ac:dyDescent="0.3">
      <c r="A767" s="190">
        <v>43427</v>
      </c>
      <c r="B767" s="192">
        <v>1.1332</v>
      </c>
    </row>
    <row r="768" spans="1:2" x14ac:dyDescent="0.3">
      <c r="A768" s="190">
        <v>43430</v>
      </c>
      <c r="B768" s="192">
        <v>1.1335999999999999</v>
      </c>
    </row>
    <row r="769" spans="1:2" x14ac:dyDescent="0.3">
      <c r="A769" s="190">
        <v>43431</v>
      </c>
      <c r="B769" s="192">
        <v>1.1281000000000001</v>
      </c>
    </row>
    <row r="770" spans="1:2" x14ac:dyDescent="0.3">
      <c r="A770" s="190">
        <v>43432</v>
      </c>
      <c r="B770" s="192">
        <v>1.1286</v>
      </c>
    </row>
    <row r="771" spans="1:2" x14ac:dyDescent="0.3">
      <c r="A771" s="190">
        <v>43433</v>
      </c>
      <c r="B771" s="192">
        <v>1.1382000000000001</v>
      </c>
    </row>
    <row r="772" spans="1:2" x14ac:dyDescent="0.3">
      <c r="A772" s="190">
        <v>43434</v>
      </c>
      <c r="B772" s="192">
        <v>1.1323000000000001</v>
      </c>
    </row>
    <row r="773" spans="1:2" x14ac:dyDescent="0.3">
      <c r="A773" s="190">
        <v>43437</v>
      </c>
      <c r="B773" s="192">
        <v>1.1355999999999999</v>
      </c>
    </row>
    <row r="774" spans="1:2" x14ac:dyDescent="0.3">
      <c r="A774" s="190">
        <v>43438</v>
      </c>
      <c r="B774" s="192">
        <v>1.1345000000000001</v>
      </c>
    </row>
    <row r="775" spans="1:2" x14ac:dyDescent="0.3">
      <c r="A775" s="190">
        <v>43439</v>
      </c>
      <c r="B775" s="191">
        <v>0</v>
      </c>
    </row>
    <row r="776" spans="1:2" x14ac:dyDescent="0.3">
      <c r="A776" s="190">
        <v>43440</v>
      </c>
      <c r="B776" s="192">
        <v>1.1374</v>
      </c>
    </row>
    <row r="777" spans="1:2" x14ac:dyDescent="0.3">
      <c r="A777" s="190">
        <v>43441</v>
      </c>
      <c r="B777" s="192">
        <v>1.139</v>
      </c>
    </row>
    <row r="778" spans="1:2" x14ac:dyDescent="0.3">
      <c r="A778" s="190">
        <v>43444</v>
      </c>
      <c r="B778" s="192">
        <v>1.1368</v>
      </c>
    </row>
    <row r="779" spans="1:2" x14ac:dyDescent="0.3">
      <c r="A779" s="190">
        <v>43445</v>
      </c>
      <c r="B779" s="192">
        <v>1.1314</v>
      </c>
    </row>
    <row r="780" spans="1:2" x14ac:dyDescent="0.3">
      <c r="A780" s="190">
        <v>43446</v>
      </c>
      <c r="B780" s="192">
        <v>1.1362000000000001</v>
      </c>
    </row>
    <row r="781" spans="1:2" x14ac:dyDescent="0.3">
      <c r="A781" s="190">
        <v>43447</v>
      </c>
      <c r="B781" s="192">
        <v>1.1357999999999999</v>
      </c>
    </row>
    <row r="782" spans="1:2" x14ac:dyDescent="0.3">
      <c r="A782" s="190">
        <v>43448</v>
      </c>
      <c r="B782" s="192">
        <v>1.1299999999999999</v>
      </c>
    </row>
    <row r="783" spans="1:2" x14ac:dyDescent="0.3">
      <c r="A783" s="190">
        <v>43451</v>
      </c>
      <c r="B783" s="192">
        <v>1.1338999999999999</v>
      </c>
    </row>
    <row r="784" spans="1:2" x14ac:dyDescent="0.3">
      <c r="A784" s="190">
        <v>43452</v>
      </c>
      <c r="B784" s="192">
        <v>1.1364000000000001</v>
      </c>
    </row>
    <row r="785" spans="1:2" x14ac:dyDescent="0.3">
      <c r="A785" s="190">
        <v>43453</v>
      </c>
      <c r="B785" s="192">
        <v>1.1422000000000001</v>
      </c>
    </row>
    <row r="786" spans="1:2" x14ac:dyDescent="0.3">
      <c r="A786" s="190">
        <v>43454</v>
      </c>
      <c r="B786" s="192">
        <v>1.1432</v>
      </c>
    </row>
    <row r="787" spans="1:2" x14ac:dyDescent="0.3">
      <c r="A787" s="190">
        <v>43455</v>
      </c>
      <c r="B787" s="192">
        <v>1.1402000000000001</v>
      </c>
    </row>
    <row r="788" spans="1:2" x14ac:dyDescent="0.3">
      <c r="A788" s="190">
        <v>43458</v>
      </c>
      <c r="B788" s="191">
        <v>0</v>
      </c>
    </row>
    <row r="789" spans="1:2" x14ac:dyDescent="0.3">
      <c r="A789" s="190">
        <v>43459</v>
      </c>
      <c r="B789" s="191">
        <v>0</v>
      </c>
    </row>
    <row r="790" spans="1:2" x14ac:dyDescent="0.3">
      <c r="A790" s="190">
        <v>43460</v>
      </c>
      <c r="B790" s="192">
        <v>1.1408</v>
      </c>
    </row>
    <row r="791" spans="1:2" x14ac:dyDescent="0.3">
      <c r="A791" s="190">
        <v>43461</v>
      </c>
      <c r="B791" s="192">
        <v>1.1412</v>
      </c>
    </row>
    <row r="792" spans="1:2" x14ac:dyDescent="0.3">
      <c r="A792" s="190">
        <v>43462</v>
      </c>
      <c r="B792" s="192">
        <v>1.1445000000000001</v>
      </c>
    </row>
    <row r="793" spans="1:2" x14ac:dyDescent="0.3">
      <c r="A793" s="190">
        <v>43465</v>
      </c>
      <c r="B793" s="192">
        <v>1.1456</v>
      </c>
    </row>
    <row r="794" spans="1:2" x14ac:dyDescent="0.3">
      <c r="A794" s="190">
        <v>43466</v>
      </c>
      <c r="B794" s="191">
        <v>0</v>
      </c>
    </row>
    <row r="795" spans="1:2" x14ac:dyDescent="0.3">
      <c r="A795" s="190">
        <v>43467</v>
      </c>
      <c r="B795" s="192">
        <v>1.1356999999999999</v>
      </c>
    </row>
    <row r="796" spans="1:2" x14ac:dyDescent="0.3">
      <c r="A796" s="190">
        <v>43468</v>
      </c>
      <c r="B796" s="192">
        <v>1.1398999999999999</v>
      </c>
    </row>
    <row r="797" spans="1:2" x14ac:dyDescent="0.3">
      <c r="A797" s="190">
        <v>43469</v>
      </c>
      <c r="B797" s="192">
        <v>1.141</v>
      </c>
    </row>
    <row r="798" spans="1:2" x14ac:dyDescent="0.3">
      <c r="A798" s="190">
        <v>43472</v>
      </c>
      <c r="B798" s="192">
        <v>1.1468</v>
      </c>
    </row>
    <row r="799" spans="1:2" x14ac:dyDescent="0.3">
      <c r="A799" s="190">
        <v>43473</v>
      </c>
      <c r="B799" s="192">
        <v>1.1444000000000001</v>
      </c>
    </row>
    <row r="800" spans="1:2" x14ac:dyDescent="0.3">
      <c r="A800" s="190">
        <v>43474</v>
      </c>
      <c r="B800" s="192">
        <v>1.1524000000000001</v>
      </c>
    </row>
    <row r="801" spans="1:2" x14ac:dyDescent="0.3">
      <c r="A801" s="190">
        <v>43475</v>
      </c>
      <c r="B801" s="192">
        <v>1.1516999999999999</v>
      </c>
    </row>
    <row r="802" spans="1:2" x14ac:dyDescent="0.3">
      <c r="A802" s="190">
        <v>43476</v>
      </c>
      <c r="B802" s="192">
        <v>1.1478999999999999</v>
      </c>
    </row>
    <row r="803" spans="1:2" x14ac:dyDescent="0.3">
      <c r="A803" s="190">
        <v>43479</v>
      </c>
      <c r="B803" s="191">
        <v>0</v>
      </c>
    </row>
    <row r="804" spans="1:2" x14ac:dyDescent="0.3">
      <c r="A804" s="190">
        <v>43480</v>
      </c>
      <c r="B804" s="192">
        <v>1.1392</v>
      </c>
    </row>
    <row r="805" spans="1:2" x14ac:dyDescent="0.3">
      <c r="A805" s="190">
        <v>43481</v>
      </c>
      <c r="B805" s="192">
        <v>1.1408</v>
      </c>
    </row>
    <row r="806" spans="1:2" x14ac:dyDescent="0.3">
      <c r="A806" s="190">
        <v>43482</v>
      </c>
      <c r="B806" s="192">
        <v>1.1386000000000001</v>
      </c>
    </row>
    <row r="807" spans="1:2" x14ac:dyDescent="0.3">
      <c r="A807" s="190">
        <v>43483</v>
      </c>
      <c r="B807" s="192">
        <v>1.1362000000000001</v>
      </c>
    </row>
    <row r="808" spans="1:2" x14ac:dyDescent="0.3">
      <c r="A808" s="190">
        <v>43486</v>
      </c>
      <c r="B808" s="191">
        <v>0</v>
      </c>
    </row>
    <row r="809" spans="1:2" x14ac:dyDescent="0.3">
      <c r="A809" s="190">
        <v>43487</v>
      </c>
      <c r="B809" s="192">
        <v>1.1358999999999999</v>
      </c>
    </row>
    <row r="810" spans="1:2" x14ac:dyDescent="0.3">
      <c r="A810" s="190">
        <v>43488</v>
      </c>
      <c r="B810" s="192">
        <v>1.139</v>
      </c>
    </row>
    <row r="811" spans="1:2" x14ac:dyDescent="0.3">
      <c r="A811" s="190">
        <v>43489</v>
      </c>
      <c r="B811" s="192">
        <v>1.1322000000000001</v>
      </c>
    </row>
    <row r="812" spans="1:2" x14ac:dyDescent="0.3">
      <c r="A812" s="190">
        <v>43490</v>
      </c>
      <c r="B812" s="192">
        <v>1.1407</v>
      </c>
    </row>
    <row r="813" spans="1:2" x14ac:dyDescent="0.3">
      <c r="A813" s="190">
        <v>43493</v>
      </c>
      <c r="B813" s="192">
        <v>1.1437999999999999</v>
      </c>
    </row>
    <row r="814" spans="1:2" x14ac:dyDescent="0.3">
      <c r="A814" s="190">
        <v>43494</v>
      </c>
      <c r="B814" s="192">
        <v>1.1424000000000001</v>
      </c>
    </row>
    <row r="815" spans="1:2" x14ac:dyDescent="0.3">
      <c r="A815" s="190">
        <v>43495</v>
      </c>
      <c r="B815" s="192">
        <v>1.1417999999999999</v>
      </c>
    </row>
    <row r="816" spans="1:2" x14ac:dyDescent="0.3">
      <c r="A816" s="190">
        <v>43496</v>
      </c>
      <c r="B816" s="192">
        <v>1.1454</v>
      </c>
    </row>
    <row r="817" spans="1:2" x14ac:dyDescent="0.3">
      <c r="A817" s="190">
        <v>43497</v>
      </c>
      <c r="B817" s="192">
        <v>1.1474</v>
      </c>
    </row>
  </sheetData>
  <hyperlinks>
    <hyperlink ref="A1" r:id="rId1" xr:uid="{2143AEB3-0181-43FF-A3EA-B5844C6EC85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Earnings Model</vt:lpstr>
      <vt:lpstr>Std Dev</vt:lpstr>
      <vt:lpstr>USD-EUR</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2019-02-25T00:11:25Z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