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docs.live.net/4bf9dc2a65e82d9d/Documents/Gutenberg/19-Procrastinators guide to modeling/SBUX/Files to publish/"/>
    </mc:Choice>
  </mc:AlternateContent>
  <xr:revisionPtr revIDLastSave="32" documentId="13_ncr:1_{80C10A36-5349-4B87-BCEA-17F2A5E2C787}" xr6:coauthVersionLast="47" xr6:coauthVersionMax="47" xr10:uidLastSave="{1306BFF7-2315-4B14-8568-307907DDF923}"/>
  <bookViews>
    <workbookView xWindow="-108" yWindow="-108" windowWidth="41496" windowHeight="16896" tabRatio="767" xr2:uid="{00000000-000D-0000-FFFF-FFFF00000000}"/>
  </bookViews>
  <sheets>
    <sheet name="Income Statement &amp; Segments" sheetId="36" r:id="rId1"/>
    <sheet name="Balance Sheet" sheetId="38" r:id="rId2"/>
    <sheet name="Cash Flow Statement" sheetId="39" r:id="rId3"/>
  </sheets>
  <definedNames>
    <definedName name="DATA">#REF!</definedName>
    <definedName name="DATA2">#REF!</definedName>
    <definedName name="_xlnm.Print_Area" localSheetId="1">'Balance Sheet'!$B$3:$AB$56</definedName>
    <definedName name="_xlnm.Print_Area" localSheetId="2">'Cash Flow Statement'!$B$3:$AB$57</definedName>
    <definedName name="_xlnm.Print_Area" localSheetId="0">'Income Statement &amp; Segments'!$B$1:$AB$316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6" i="36" l="1"/>
  <c r="K146" i="36"/>
  <c r="L146" i="36"/>
  <c r="M146" i="36"/>
  <c r="N146" i="36"/>
  <c r="O146" i="36"/>
  <c r="P146" i="36"/>
  <c r="Q146" i="36"/>
  <c r="R146" i="36"/>
  <c r="S146" i="36"/>
  <c r="T146" i="36"/>
  <c r="U146" i="36"/>
  <c r="I146" i="36"/>
  <c r="G145" i="36"/>
  <c r="F145" i="36"/>
  <c r="E145" i="36"/>
  <c r="L145" i="36"/>
  <c r="K145" i="36"/>
  <c r="J145" i="36"/>
  <c r="I145" i="36"/>
  <c r="N145" i="36"/>
  <c r="S145" i="36"/>
  <c r="Q145" i="36"/>
  <c r="P145" i="36"/>
  <c r="O145" i="36"/>
  <c r="T145" i="36"/>
  <c r="U145" i="36"/>
  <c r="S54" i="39" l="1"/>
  <c r="N54" i="39"/>
  <c r="I54" i="39"/>
  <c r="D54" i="39"/>
  <c r="T47" i="39"/>
  <c r="Q47" i="39"/>
  <c r="P47" i="39"/>
  <c r="O47" i="39"/>
  <c r="G47" i="39"/>
  <c r="F47" i="39"/>
  <c r="D47" i="39"/>
  <c r="H40" i="39"/>
  <c r="U38" i="39"/>
  <c r="T38" i="39"/>
  <c r="O38" i="39"/>
  <c r="J38" i="39"/>
  <c r="E38" i="39"/>
  <c r="F38" i="39" s="1"/>
  <c r="G38" i="39" s="1"/>
  <c r="D38" i="39"/>
  <c r="H38" i="39" s="1"/>
  <c r="S37" i="39"/>
  <c r="D37" i="39"/>
  <c r="T36" i="39"/>
  <c r="P36" i="39"/>
  <c r="O36" i="39"/>
  <c r="J36" i="39"/>
  <c r="E36" i="39"/>
  <c r="T35" i="39"/>
  <c r="O35" i="39"/>
  <c r="J35" i="39"/>
  <c r="E35" i="39"/>
  <c r="U34" i="39"/>
  <c r="T34" i="39"/>
  <c r="O34" i="39"/>
  <c r="O37" i="39" s="1"/>
  <c r="K34" i="39"/>
  <c r="L34" i="39" s="1"/>
  <c r="J34" i="39"/>
  <c r="M34" i="39" s="1"/>
  <c r="G34" i="39"/>
  <c r="E34" i="39"/>
  <c r="F34" i="39" s="1"/>
  <c r="T33" i="39"/>
  <c r="O33" i="39"/>
  <c r="P33" i="39" s="1"/>
  <c r="Q33" i="39" s="1"/>
  <c r="J33" i="39"/>
  <c r="E33" i="39"/>
  <c r="T32" i="39"/>
  <c r="O32" i="39"/>
  <c r="J32" i="39"/>
  <c r="E32" i="39"/>
  <c r="T31" i="39"/>
  <c r="O31" i="39"/>
  <c r="I31" i="39"/>
  <c r="G31" i="39"/>
  <c r="H31" i="39" s="1"/>
  <c r="U30" i="39"/>
  <c r="O30" i="39"/>
  <c r="P30" i="39" s="1"/>
  <c r="N30" i="39"/>
  <c r="L30" i="39"/>
  <c r="M30" i="39" s="1"/>
  <c r="J30" i="39"/>
  <c r="G30" i="39"/>
  <c r="F30" i="39"/>
  <c r="H30" i="39" s="1"/>
  <c r="U29" i="39"/>
  <c r="T29" i="39"/>
  <c r="T37" i="39" s="1"/>
  <c r="Q29" i="39"/>
  <c r="P29" i="39"/>
  <c r="O29" i="39"/>
  <c r="R29" i="39" s="1"/>
  <c r="J29" i="39"/>
  <c r="E29" i="39"/>
  <c r="E37" i="39" s="1"/>
  <c r="N27" i="39"/>
  <c r="U26" i="39"/>
  <c r="T26" i="39"/>
  <c r="O26" i="39"/>
  <c r="P26" i="39" s="1"/>
  <c r="J26" i="39"/>
  <c r="E26" i="39"/>
  <c r="F26" i="39" s="1"/>
  <c r="G26" i="39" s="1"/>
  <c r="T25" i="39"/>
  <c r="O25" i="39"/>
  <c r="K25" i="39"/>
  <c r="L25" i="39" s="1"/>
  <c r="J25" i="39"/>
  <c r="E25" i="39"/>
  <c r="S24" i="39"/>
  <c r="T24" i="39" s="1"/>
  <c r="N24" i="39"/>
  <c r="I24" i="39"/>
  <c r="J24" i="39" s="1"/>
  <c r="D24" i="39"/>
  <c r="E24" i="39" s="1"/>
  <c r="S21" i="39"/>
  <c r="T21" i="39" s="1"/>
  <c r="U21" i="39" s="1"/>
  <c r="N21" i="39"/>
  <c r="O21" i="39" s="1"/>
  <c r="J21" i="39"/>
  <c r="K21" i="39" s="1"/>
  <c r="L21" i="39" s="1"/>
  <c r="I21" i="39"/>
  <c r="M21" i="39" s="1"/>
  <c r="G21" i="39"/>
  <c r="H21" i="39" s="1"/>
  <c r="F21" i="39"/>
  <c r="E21" i="39"/>
  <c r="T20" i="39"/>
  <c r="O20" i="39"/>
  <c r="P20" i="39" s="1"/>
  <c r="K20" i="39"/>
  <c r="J20" i="39"/>
  <c r="F20" i="39"/>
  <c r="U19" i="39"/>
  <c r="T19" i="39"/>
  <c r="O19" i="39"/>
  <c r="J19" i="39"/>
  <c r="E19" i="39"/>
  <c r="F19" i="39" s="1"/>
  <c r="G19" i="39" s="1"/>
  <c r="T18" i="39"/>
  <c r="U18" i="39" s="1"/>
  <c r="O18" i="39"/>
  <c r="J18" i="39"/>
  <c r="F18" i="39"/>
  <c r="G18" i="39" s="1"/>
  <c r="E18" i="39"/>
  <c r="H18" i="39" s="1"/>
  <c r="S17" i="39"/>
  <c r="P17" i="39"/>
  <c r="Q17" i="39" s="1"/>
  <c r="O17" i="39"/>
  <c r="J17" i="39"/>
  <c r="K17" i="39" s="1"/>
  <c r="E17" i="39"/>
  <c r="T16" i="39"/>
  <c r="U16" i="39" s="1"/>
  <c r="O16" i="39"/>
  <c r="J16" i="39"/>
  <c r="E16" i="39"/>
  <c r="T15" i="39"/>
  <c r="P15" i="39"/>
  <c r="Q15" i="39" s="1"/>
  <c r="O15" i="39"/>
  <c r="J15" i="39"/>
  <c r="E15" i="39"/>
  <c r="U13" i="39"/>
  <c r="T13" i="39"/>
  <c r="O13" i="39"/>
  <c r="P13" i="39" s="1"/>
  <c r="Q13" i="39" s="1"/>
  <c r="N13" i="39"/>
  <c r="R13" i="39" s="1"/>
  <c r="J13" i="39"/>
  <c r="K13" i="39" s="1"/>
  <c r="L13" i="39" s="1"/>
  <c r="I13" i="39"/>
  <c r="M13" i="39" s="1"/>
  <c r="F13" i="39"/>
  <c r="G13" i="39" s="1"/>
  <c r="E13" i="39"/>
  <c r="H13" i="39" s="1"/>
  <c r="T12" i="39"/>
  <c r="O12" i="39"/>
  <c r="J12" i="39"/>
  <c r="K12" i="39" s="1"/>
  <c r="E12" i="39"/>
  <c r="F12" i="39" s="1"/>
  <c r="T11" i="39"/>
  <c r="J11" i="39"/>
  <c r="F11" i="39"/>
  <c r="E11" i="39"/>
  <c r="U10" i="39"/>
  <c r="T10" i="39"/>
  <c r="O10" i="39"/>
  <c r="P10" i="39" s="1"/>
  <c r="J10" i="39"/>
  <c r="E10" i="39"/>
  <c r="F10" i="39" s="1"/>
  <c r="G10" i="39" s="1"/>
  <c r="G54" i="39" s="1"/>
  <c r="T9" i="39"/>
  <c r="O9" i="39"/>
  <c r="J9" i="39"/>
  <c r="E9" i="39"/>
  <c r="F9" i="39" s="1"/>
  <c r="G9" i="39" s="1"/>
  <c r="T8" i="39"/>
  <c r="O8" i="39"/>
  <c r="J8" i="39"/>
  <c r="E8" i="39"/>
  <c r="U7" i="39"/>
  <c r="T7" i="39"/>
  <c r="O7" i="39"/>
  <c r="J7" i="39"/>
  <c r="E7" i="39"/>
  <c r="S22" i="39"/>
  <c r="N22" i="39"/>
  <c r="I22" i="39"/>
  <c r="D22" i="39"/>
  <c r="U63" i="38"/>
  <c r="T63" i="38"/>
  <c r="Q63" i="38"/>
  <c r="P63" i="38"/>
  <c r="O63" i="38"/>
  <c r="G63" i="38"/>
  <c r="F63" i="38"/>
  <c r="D63" i="38"/>
  <c r="G62" i="38"/>
  <c r="F62" i="38"/>
  <c r="U56" i="38"/>
  <c r="T56" i="38"/>
  <c r="S56" i="38"/>
  <c r="N56" i="38"/>
  <c r="J56" i="38"/>
  <c r="I56" i="38"/>
  <c r="U55" i="38"/>
  <c r="T55" i="38"/>
  <c r="S55" i="38"/>
  <c r="Q55" i="38"/>
  <c r="P55" i="38"/>
  <c r="O55" i="38"/>
  <c r="N55" i="38"/>
  <c r="L55" i="38"/>
  <c r="K55" i="38"/>
  <c r="J55" i="38"/>
  <c r="I55" i="38"/>
  <c r="G55" i="38"/>
  <c r="F55" i="38"/>
  <c r="E55" i="38"/>
  <c r="D55" i="38"/>
  <c r="U54" i="38"/>
  <c r="T54" i="38"/>
  <c r="S54" i="38"/>
  <c r="Q54" i="38"/>
  <c r="P54" i="38"/>
  <c r="O54" i="38"/>
  <c r="N54" i="38"/>
  <c r="L54" i="38"/>
  <c r="K54" i="38"/>
  <c r="J54" i="38"/>
  <c r="I54" i="38"/>
  <c r="G54" i="38"/>
  <c r="F54" i="38"/>
  <c r="E54" i="38"/>
  <c r="D54" i="38"/>
  <c r="I52" i="38"/>
  <c r="G52" i="38"/>
  <c r="E52" i="38"/>
  <c r="D52" i="38"/>
  <c r="N50" i="38"/>
  <c r="L50" i="38"/>
  <c r="E48" i="38"/>
  <c r="K48" i="38"/>
  <c r="J48" i="38"/>
  <c r="I48" i="38"/>
  <c r="G48" i="38"/>
  <c r="F48" i="38"/>
  <c r="D48" i="38"/>
  <c r="U46" i="38"/>
  <c r="T46" i="38"/>
  <c r="S46" i="38"/>
  <c r="S52" i="38" s="1"/>
  <c r="Q46" i="38"/>
  <c r="Q52" i="38" s="1"/>
  <c r="P46" i="38"/>
  <c r="P52" i="38" s="1"/>
  <c r="O46" i="38"/>
  <c r="O52" i="38" s="1"/>
  <c r="N46" i="38"/>
  <c r="L46" i="38"/>
  <c r="K46" i="38"/>
  <c r="J46" i="38"/>
  <c r="J50" i="38" s="1"/>
  <c r="I46" i="38"/>
  <c r="I50" i="38" s="1"/>
  <c r="G46" i="38"/>
  <c r="G50" i="38" s="1"/>
  <c r="F46" i="38"/>
  <c r="F50" i="38" s="1"/>
  <c r="E46" i="38"/>
  <c r="E50" i="38" s="1"/>
  <c r="D46" i="38"/>
  <c r="D50" i="38" s="1"/>
  <c r="U41" i="38"/>
  <c r="T41" i="38"/>
  <c r="S41" i="38"/>
  <c r="R41" i="38"/>
  <c r="G41" i="38"/>
  <c r="G42" i="38" s="1"/>
  <c r="F41" i="38"/>
  <c r="E41" i="38"/>
  <c r="D41" i="38"/>
  <c r="D42" i="38" s="1"/>
  <c r="R40" i="38"/>
  <c r="M40" i="38"/>
  <c r="H40" i="38"/>
  <c r="R39" i="38"/>
  <c r="M39" i="38"/>
  <c r="H39" i="38"/>
  <c r="R38" i="38"/>
  <c r="M38" i="38"/>
  <c r="H38" i="38"/>
  <c r="U37" i="38"/>
  <c r="T37" i="38"/>
  <c r="S37" i="38"/>
  <c r="R37" i="38"/>
  <c r="Q37" i="38"/>
  <c r="Q41" i="38" s="1"/>
  <c r="P37" i="38"/>
  <c r="P41" i="38" s="1"/>
  <c r="O37" i="38"/>
  <c r="O41" i="38" s="1"/>
  <c r="N37" i="38"/>
  <c r="N41" i="38" s="1"/>
  <c r="M37" i="38"/>
  <c r="M41" i="38" s="1"/>
  <c r="L37" i="38"/>
  <c r="L41" i="38" s="1"/>
  <c r="K37" i="38"/>
  <c r="K41" i="38" s="1"/>
  <c r="K42" i="38" s="1"/>
  <c r="J37" i="38"/>
  <c r="J41" i="38" s="1"/>
  <c r="I37" i="38"/>
  <c r="I41" i="38" s="1"/>
  <c r="G37" i="38"/>
  <c r="H37" i="38" s="1"/>
  <c r="H41" i="38" s="1"/>
  <c r="F37" i="38"/>
  <c r="E37" i="38"/>
  <c r="D37" i="38"/>
  <c r="O35" i="38"/>
  <c r="G35" i="38"/>
  <c r="F35" i="38"/>
  <c r="F42" i="38" s="1"/>
  <c r="R34" i="38"/>
  <c r="M34" i="38"/>
  <c r="H34" i="38"/>
  <c r="R33" i="38"/>
  <c r="M33" i="38"/>
  <c r="H33" i="38"/>
  <c r="R32" i="38"/>
  <c r="M32" i="38"/>
  <c r="H32" i="38"/>
  <c r="R31" i="38"/>
  <c r="M31" i="38"/>
  <c r="H31" i="38"/>
  <c r="T30" i="38"/>
  <c r="T35" i="38" s="1"/>
  <c r="S30" i="38"/>
  <c r="S35" i="38" s="1"/>
  <c r="Q30" i="38"/>
  <c r="Q35" i="38" s="1"/>
  <c r="P30" i="38"/>
  <c r="P35" i="38" s="1"/>
  <c r="O30" i="38"/>
  <c r="L30" i="38"/>
  <c r="L35" i="38" s="1"/>
  <c r="K30" i="38"/>
  <c r="K35" i="38" s="1"/>
  <c r="G30" i="38"/>
  <c r="F30" i="38"/>
  <c r="D30" i="38"/>
  <c r="D35" i="38" s="1"/>
  <c r="R29" i="38"/>
  <c r="M29" i="38"/>
  <c r="H29" i="38"/>
  <c r="U28" i="38"/>
  <c r="U47" i="39" s="1"/>
  <c r="S28" i="38"/>
  <c r="S47" i="39" s="1"/>
  <c r="R28" i="38"/>
  <c r="R47" i="39" s="1"/>
  <c r="N28" i="38"/>
  <c r="M28" i="38"/>
  <c r="L28" i="38"/>
  <c r="L47" i="39" s="1"/>
  <c r="K28" i="38"/>
  <c r="K47" i="39" s="1"/>
  <c r="J28" i="38"/>
  <c r="J47" i="39" s="1"/>
  <c r="I28" i="38"/>
  <c r="I47" i="39" s="1"/>
  <c r="H28" i="38"/>
  <c r="H47" i="39" s="1"/>
  <c r="E28" i="38"/>
  <c r="E47" i="39" s="1"/>
  <c r="R27" i="38"/>
  <c r="M27" i="38"/>
  <c r="H27" i="38"/>
  <c r="R26" i="38"/>
  <c r="M26" i="38"/>
  <c r="H26" i="38"/>
  <c r="U25" i="38"/>
  <c r="T25" i="38"/>
  <c r="R25" i="38"/>
  <c r="M25" i="38"/>
  <c r="H25" i="38"/>
  <c r="R24" i="38"/>
  <c r="M24" i="38"/>
  <c r="H24" i="38"/>
  <c r="R23" i="38"/>
  <c r="M23" i="38"/>
  <c r="H23" i="38"/>
  <c r="R22" i="38"/>
  <c r="M22" i="38"/>
  <c r="H22" i="38"/>
  <c r="R19" i="38"/>
  <c r="M19" i="38"/>
  <c r="H19" i="38"/>
  <c r="R18" i="38"/>
  <c r="M18" i="38"/>
  <c r="H18" i="38"/>
  <c r="R17" i="38"/>
  <c r="M17" i="38"/>
  <c r="H17" i="38"/>
  <c r="R16" i="38"/>
  <c r="M16" i="38"/>
  <c r="H16" i="38"/>
  <c r="H55" i="38" s="1"/>
  <c r="R15" i="38"/>
  <c r="M15" i="38"/>
  <c r="H15" i="38"/>
  <c r="R14" i="38"/>
  <c r="M14" i="38"/>
  <c r="H14" i="38"/>
  <c r="R13" i="38"/>
  <c r="M13" i="38"/>
  <c r="H13" i="38"/>
  <c r="R12" i="38"/>
  <c r="M12" i="38"/>
  <c r="H12" i="38"/>
  <c r="R10" i="38"/>
  <c r="M10" i="38"/>
  <c r="H10" i="38"/>
  <c r="R9" i="38"/>
  <c r="M9" i="38"/>
  <c r="H9" i="38"/>
  <c r="R8" i="38"/>
  <c r="M8" i="38"/>
  <c r="H8" i="38"/>
  <c r="R7" i="38"/>
  <c r="M7" i="38"/>
  <c r="H7" i="38"/>
  <c r="H54" i="38" s="1"/>
  <c r="K50" i="38" l="1"/>
  <c r="T52" i="38"/>
  <c r="J22" i="39"/>
  <c r="U52" i="38"/>
  <c r="N37" i="39"/>
  <c r="I55" i="39"/>
  <c r="I148" i="36" s="1"/>
  <c r="S42" i="38"/>
  <c r="T42" i="38"/>
  <c r="F24" i="39"/>
  <c r="E27" i="39"/>
  <c r="U30" i="38"/>
  <c r="U35" i="38" s="1"/>
  <c r="U42" i="38" s="1"/>
  <c r="L42" i="38"/>
  <c r="M47" i="39"/>
  <c r="M42" i="38"/>
  <c r="H17" i="39"/>
  <c r="N47" i="39"/>
  <c r="N63" i="38"/>
  <c r="N62" i="38"/>
  <c r="N30" i="38"/>
  <c r="N35" i="38" s="1"/>
  <c r="N42" i="38"/>
  <c r="O42" i="38"/>
  <c r="O62" i="38"/>
  <c r="H30" i="38"/>
  <c r="H35" i="38" s="1"/>
  <c r="H42" i="38" s="1"/>
  <c r="P42" i="38"/>
  <c r="P62" i="38"/>
  <c r="M30" i="38"/>
  <c r="M35" i="38" s="1"/>
  <c r="Q42" i="38"/>
  <c r="Q62" i="38"/>
  <c r="L52" i="38"/>
  <c r="L48" i="38"/>
  <c r="Q20" i="39"/>
  <c r="R20" i="39"/>
  <c r="Q30" i="39"/>
  <c r="R30" i="38"/>
  <c r="R35" i="38" s="1"/>
  <c r="R42" i="38" s="1"/>
  <c r="N52" i="38"/>
  <c r="N48" i="38"/>
  <c r="M32" i="39"/>
  <c r="R15" i="39"/>
  <c r="E56" i="38"/>
  <c r="F7" i="39"/>
  <c r="O50" i="38"/>
  <c r="I62" i="38"/>
  <c r="K24" i="39"/>
  <c r="J27" i="39"/>
  <c r="R35" i="39"/>
  <c r="P35" i="39"/>
  <c r="Q35" i="39" s="1"/>
  <c r="S39" i="39"/>
  <c r="P50" i="38"/>
  <c r="F52" i="38"/>
  <c r="J62" i="38"/>
  <c r="S55" i="39"/>
  <c r="S148" i="36" s="1"/>
  <c r="H9" i="39"/>
  <c r="Q10" i="39"/>
  <c r="R10" i="39" s="1"/>
  <c r="L17" i="39"/>
  <c r="M17" i="39" s="1"/>
  <c r="Q50" i="38"/>
  <c r="K62" i="38"/>
  <c r="E63" i="38"/>
  <c r="K9" i="39"/>
  <c r="L9" i="39" s="1"/>
  <c r="R17" i="39"/>
  <c r="H19" i="39"/>
  <c r="H34" i="39"/>
  <c r="S50" i="38"/>
  <c r="L62" i="38"/>
  <c r="E22" i="39"/>
  <c r="U24" i="39"/>
  <c r="T27" i="39"/>
  <c r="T50" i="38"/>
  <c r="J52" i="38"/>
  <c r="K7" i="39"/>
  <c r="G12" i="39"/>
  <c r="U50" i="38"/>
  <c r="K52" i="38"/>
  <c r="I63" i="38"/>
  <c r="L12" i="39"/>
  <c r="J63" i="38"/>
  <c r="F16" i="39"/>
  <c r="G16" i="39" s="1"/>
  <c r="I37" i="39"/>
  <c r="J31" i="39"/>
  <c r="K31" i="39" s="1"/>
  <c r="L31" i="39" s="1"/>
  <c r="P34" i="39"/>
  <c r="Q34" i="39" s="1"/>
  <c r="K63" i="38"/>
  <c r="I149" i="36"/>
  <c r="P12" i="39"/>
  <c r="H26" i="39"/>
  <c r="U37" i="39"/>
  <c r="E30" i="38"/>
  <c r="E35" i="38" s="1"/>
  <c r="E42" i="38" s="1"/>
  <c r="O48" i="38"/>
  <c r="S62" i="38"/>
  <c r="L63" i="38"/>
  <c r="P7" i="39"/>
  <c r="R21" i="39"/>
  <c r="P21" i="39"/>
  <c r="Q21" i="39" s="1"/>
  <c r="M25" i="39"/>
  <c r="M26" i="39"/>
  <c r="M33" i="39"/>
  <c r="P48" i="38"/>
  <c r="T62" i="38"/>
  <c r="H11" i="39"/>
  <c r="R26" i="39"/>
  <c r="Q26" i="39"/>
  <c r="Q48" i="38"/>
  <c r="U62" i="38"/>
  <c r="L6" i="39"/>
  <c r="G11" i="39"/>
  <c r="U25" i="39"/>
  <c r="R33" i="39"/>
  <c r="S48" i="38"/>
  <c r="O56" i="38"/>
  <c r="U8" i="39"/>
  <c r="K11" i="39"/>
  <c r="L11" i="39" s="1"/>
  <c r="I30" i="38"/>
  <c r="I35" i="38" s="1"/>
  <c r="I42" i="38" s="1"/>
  <c r="T48" i="38"/>
  <c r="D62" i="38"/>
  <c r="N55" i="39"/>
  <c r="N148" i="36" s="1"/>
  <c r="N149" i="36"/>
  <c r="J30" i="38"/>
  <c r="J35" i="38" s="1"/>
  <c r="J42" i="38" s="1"/>
  <c r="U48" i="38"/>
  <c r="E62" i="38"/>
  <c r="S63" i="38"/>
  <c r="H10" i="39"/>
  <c r="H54" i="39" s="1"/>
  <c r="M15" i="39"/>
  <c r="N39" i="39"/>
  <c r="K19" i="39"/>
  <c r="L19" i="39" s="1"/>
  <c r="U20" i="39"/>
  <c r="O24" i="39"/>
  <c r="K26" i="39"/>
  <c r="L26" i="39" s="1"/>
  <c r="F32" i="39"/>
  <c r="G32" i="39" s="1"/>
  <c r="U33" i="39"/>
  <c r="F36" i="39"/>
  <c r="G36" i="39" s="1"/>
  <c r="T54" i="39"/>
  <c r="F29" i="39"/>
  <c r="F8" i="39"/>
  <c r="G8" i="39" s="1"/>
  <c r="U15" i="39"/>
  <c r="F25" i="39"/>
  <c r="S27" i="39"/>
  <c r="U35" i="39"/>
  <c r="E54" i="39"/>
  <c r="P9" i="39"/>
  <c r="Q9" i="39" s="1"/>
  <c r="U12" i="39"/>
  <c r="K16" i="39"/>
  <c r="L16" i="39" s="1"/>
  <c r="P19" i="39"/>
  <c r="Q19" i="39" s="1"/>
  <c r="D27" i="39"/>
  <c r="D39" i="39" s="1"/>
  <c r="D41" i="39" s="1"/>
  <c r="R30" i="39"/>
  <c r="P31" i="39"/>
  <c r="Q31" i="39" s="1"/>
  <c r="K32" i="39"/>
  <c r="L32" i="39" s="1"/>
  <c r="F33" i="39"/>
  <c r="G33" i="39" s="1"/>
  <c r="K36" i="39"/>
  <c r="L36" i="39" s="1"/>
  <c r="F54" i="39"/>
  <c r="T17" i="39"/>
  <c r="U17" i="39" s="1"/>
  <c r="G20" i="39"/>
  <c r="H20" i="39" s="1"/>
  <c r="O11" i="39"/>
  <c r="P11" i="39" s="1"/>
  <c r="Q11" i="39" s="1"/>
  <c r="K29" i="39"/>
  <c r="K38" i="39"/>
  <c r="L38" i="39" s="1"/>
  <c r="K8" i="39"/>
  <c r="L8" i="39" s="1"/>
  <c r="F15" i="39"/>
  <c r="G15" i="39" s="1"/>
  <c r="K18" i="39"/>
  <c r="L18" i="39" s="1"/>
  <c r="F35" i="39"/>
  <c r="G35" i="39" s="1"/>
  <c r="U9" i="39"/>
  <c r="U54" i="39" s="1"/>
  <c r="P16" i="39"/>
  <c r="Q16" i="39" s="1"/>
  <c r="U31" i="39"/>
  <c r="P32" i="39"/>
  <c r="Q32" i="39" s="1"/>
  <c r="K33" i="39"/>
  <c r="L33" i="39" s="1"/>
  <c r="J54" i="39"/>
  <c r="K10" i="39"/>
  <c r="F17" i="39"/>
  <c r="G17" i="39" s="1"/>
  <c r="L20" i="39"/>
  <c r="M20" i="39" s="1"/>
  <c r="I27" i="39"/>
  <c r="Q36" i="39"/>
  <c r="R36" i="39" s="1"/>
  <c r="P38" i="39"/>
  <c r="Q38" i="39" s="1"/>
  <c r="P8" i="39"/>
  <c r="Q8" i="39" s="1"/>
  <c r="U11" i="39"/>
  <c r="K15" i="39"/>
  <c r="L15" i="39" s="1"/>
  <c r="P18" i="39"/>
  <c r="Q18" i="39" s="1"/>
  <c r="P25" i="39"/>
  <c r="K35" i="39"/>
  <c r="L35" i="39" s="1"/>
  <c r="U32" i="39"/>
  <c r="U36" i="39"/>
  <c r="O54" i="39"/>
  <c r="K22" i="39" l="1"/>
  <c r="Q37" i="39"/>
  <c r="M11" i="39"/>
  <c r="S149" i="36"/>
  <c r="O22" i="39"/>
  <c r="O55" i="39" s="1"/>
  <c r="O148" i="36" s="1"/>
  <c r="J149" i="36"/>
  <c r="E40" i="39"/>
  <c r="D6" i="38"/>
  <c r="F22" i="39"/>
  <c r="F56" i="38"/>
  <c r="G7" i="39"/>
  <c r="F37" i="39"/>
  <c r="G29" i="39"/>
  <c r="P22" i="39"/>
  <c r="M38" i="39"/>
  <c r="H7" i="39"/>
  <c r="M36" i="39"/>
  <c r="G24" i="39"/>
  <c r="F27" i="39"/>
  <c r="J55" i="39"/>
  <c r="J148" i="36" s="1"/>
  <c r="H33" i="39"/>
  <c r="R38" i="39"/>
  <c r="H36" i="39"/>
  <c r="H24" i="39"/>
  <c r="R16" i="39"/>
  <c r="R31" i="39"/>
  <c r="R19" i="39"/>
  <c r="J37" i="39"/>
  <c r="J39" i="39" s="1"/>
  <c r="E39" i="39"/>
  <c r="K37" i="39"/>
  <c r="L29" i="39"/>
  <c r="R34" i="39"/>
  <c r="R32" i="39"/>
  <c r="M35" i="39"/>
  <c r="G25" i="39"/>
  <c r="Q25" i="39"/>
  <c r="M18" i="39"/>
  <c r="M16" i="39"/>
  <c r="M31" i="39"/>
  <c r="M12" i="39"/>
  <c r="L24" i="39"/>
  <c r="K27" i="39"/>
  <c r="H32" i="39"/>
  <c r="L10" i="39"/>
  <c r="L54" i="39" s="1"/>
  <c r="K54" i="39"/>
  <c r="P24" i="39"/>
  <c r="O27" i="39"/>
  <c r="O39" i="39" s="1"/>
  <c r="R8" i="39"/>
  <c r="M8" i="39"/>
  <c r="I39" i="39"/>
  <c r="H12" i="39"/>
  <c r="U27" i="39"/>
  <c r="P37" i="39"/>
  <c r="R18" i="39"/>
  <c r="P56" i="38"/>
  <c r="Q7" i="39"/>
  <c r="Q12" i="39"/>
  <c r="Q54" i="39"/>
  <c r="P54" i="39"/>
  <c r="H15" i="39"/>
  <c r="M19" i="39"/>
  <c r="M9" i="39"/>
  <c r="H35" i="39"/>
  <c r="R11" i="39"/>
  <c r="H16" i="39"/>
  <c r="R9" i="39"/>
  <c r="H8" i="39"/>
  <c r="K56" i="38"/>
  <c r="L7" i="39"/>
  <c r="U22" i="39"/>
  <c r="T22" i="39"/>
  <c r="U39" i="39" l="1"/>
  <c r="O149" i="36"/>
  <c r="M10" i="39"/>
  <c r="R37" i="39"/>
  <c r="K149" i="36"/>
  <c r="T55" i="39"/>
  <c r="T148" i="36" s="1"/>
  <c r="T39" i="39"/>
  <c r="U149" i="36"/>
  <c r="U55" i="39"/>
  <c r="U148" i="36" s="1"/>
  <c r="G37" i="39"/>
  <c r="H29" i="39"/>
  <c r="H37" i="39" s="1"/>
  <c r="P55" i="39"/>
  <c r="P148" i="36" s="1"/>
  <c r="P149" i="36"/>
  <c r="L56" i="38"/>
  <c r="M7" i="39"/>
  <c r="F39" i="39"/>
  <c r="D46" i="39"/>
  <c r="D11" i="38"/>
  <c r="D20" i="38" s="1"/>
  <c r="H56" i="38"/>
  <c r="H22" i="39"/>
  <c r="E41" i="39"/>
  <c r="L22" i="39"/>
  <c r="R25" i="39"/>
  <c r="Q56" i="38"/>
  <c r="R7" i="39"/>
  <c r="Q22" i="39"/>
  <c r="L37" i="39"/>
  <c r="M29" i="39"/>
  <c r="M37" i="39" s="1"/>
  <c r="R12" i="39"/>
  <c r="L27" i="39"/>
  <c r="M24" i="39"/>
  <c r="M27" i="39" s="1"/>
  <c r="K39" i="39"/>
  <c r="H25" i="39"/>
  <c r="Q24" i="39"/>
  <c r="Q27" i="39" s="1"/>
  <c r="P27" i="39"/>
  <c r="P39" i="39" s="1"/>
  <c r="K55" i="39"/>
  <c r="K148" i="36" s="1"/>
  <c r="G27" i="39"/>
  <c r="G56" i="38"/>
  <c r="G22" i="39"/>
  <c r="H42" i="39" s="1"/>
  <c r="R24" i="39"/>
  <c r="Q39" i="39" l="1"/>
  <c r="T149" i="36"/>
  <c r="M22" i="39"/>
  <c r="M55" i="39" s="1"/>
  <c r="M148" i="36" s="1"/>
  <c r="H27" i="39"/>
  <c r="F40" i="39"/>
  <c r="F41" i="39" s="1"/>
  <c r="E6" i="38"/>
  <c r="E144" i="36" s="1"/>
  <c r="H39" i="39"/>
  <c r="H41" i="39" s="1"/>
  <c r="G39" i="39"/>
  <c r="R27" i="39"/>
  <c r="R39" i="39" s="1"/>
  <c r="Q55" i="39"/>
  <c r="Q148" i="36" s="1"/>
  <c r="Q149" i="36"/>
  <c r="D53" i="38"/>
  <c r="D43" i="38"/>
  <c r="L39" i="39"/>
  <c r="R22" i="39"/>
  <c r="L55" i="39"/>
  <c r="L148" i="36" s="1"/>
  <c r="M42" i="39" l="1"/>
  <c r="L149" i="36"/>
  <c r="R42" i="39"/>
  <c r="M39" i="39"/>
  <c r="R55" i="39"/>
  <c r="R148" i="36" s="1"/>
  <c r="E46" i="39"/>
  <c r="E11" i="38"/>
  <c r="E20" i="38" s="1"/>
  <c r="G40" i="39"/>
  <c r="G41" i="39" s="1"/>
  <c r="G6" i="38" s="1"/>
  <c r="G144" i="36" s="1"/>
  <c r="F6" i="38"/>
  <c r="F144" i="36" s="1"/>
  <c r="M40" i="39"/>
  <c r="I40" i="39"/>
  <c r="R149" i="36" l="1"/>
  <c r="M149" i="36"/>
  <c r="M41" i="39"/>
  <c r="I41" i="39"/>
  <c r="F46" i="39"/>
  <c r="F11" i="38"/>
  <c r="F20" i="38" s="1"/>
  <c r="G46" i="39"/>
  <c r="H6" i="38"/>
  <c r="G11" i="38"/>
  <c r="G20" i="38" s="1"/>
  <c r="E53" i="38"/>
  <c r="E43" i="38"/>
  <c r="G53" i="38" l="1"/>
  <c r="G43" i="38"/>
  <c r="H46" i="39"/>
  <c r="H11" i="38"/>
  <c r="H20" i="38" s="1"/>
  <c r="F53" i="38"/>
  <c r="F43" i="38"/>
  <c r="J40" i="39"/>
  <c r="J41" i="39" s="1"/>
  <c r="I6" i="38"/>
  <c r="I144" i="36" s="1"/>
  <c r="N40" i="39"/>
  <c r="R40" i="39"/>
  <c r="I46" i="39" l="1"/>
  <c r="I11" i="38"/>
  <c r="I20" i="38" s="1"/>
  <c r="H53" i="38"/>
  <c r="H43" i="38"/>
  <c r="R41" i="39"/>
  <c r="N41" i="39"/>
  <c r="K40" i="39"/>
  <c r="K41" i="39" s="1"/>
  <c r="J6" i="38"/>
  <c r="J144" i="36" s="1"/>
  <c r="I53" i="38" l="1"/>
  <c r="I43" i="38"/>
  <c r="J46" i="39"/>
  <c r="J11" i="38"/>
  <c r="J20" i="38" s="1"/>
  <c r="L40" i="39"/>
  <c r="L41" i="39" s="1"/>
  <c r="L6" i="38" s="1"/>
  <c r="K6" i="38"/>
  <c r="K144" i="36" s="1"/>
  <c r="O40" i="39"/>
  <c r="O41" i="39" s="1"/>
  <c r="N6" i="38"/>
  <c r="N144" i="36" s="1"/>
  <c r="S40" i="39"/>
  <c r="L144" i="36" l="1"/>
  <c r="J53" i="38"/>
  <c r="J43" i="38"/>
  <c r="L46" i="39"/>
  <c r="L11" i="38"/>
  <c r="L20" i="38" s="1"/>
  <c r="M6" i="38"/>
  <c r="S41" i="39"/>
  <c r="N46" i="39"/>
  <c r="N11" i="38"/>
  <c r="N20" i="38" s="1"/>
  <c r="P40" i="39"/>
  <c r="P41" i="39" s="1"/>
  <c r="O6" i="38"/>
  <c r="O144" i="36" s="1"/>
  <c r="K46" i="39"/>
  <c r="K11" i="38"/>
  <c r="K20" i="38" s="1"/>
  <c r="T40" i="39" l="1"/>
  <c r="T41" i="39" s="1"/>
  <c r="S6" i="38"/>
  <c r="M46" i="39"/>
  <c r="M11" i="38"/>
  <c r="M20" i="38" s="1"/>
  <c r="M43" i="38" s="1"/>
  <c r="L53" i="38"/>
  <c r="L43" i="38"/>
  <c r="O46" i="39"/>
  <c r="O11" i="38"/>
  <c r="O20" i="38" s="1"/>
  <c r="Q40" i="39"/>
  <c r="Q41" i="39" s="1"/>
  <c r="Q6" i="38" s="1"/>
  <c r="Q144" i="36" s="1"/>
  <c r="P6" i="38"/>
  <c r="P144" i="36" s="1"/>
  <c r="K53" i="38"/>
  <c r="K43" i="38"/>
  <c r="N53" i="38"/>
  <c r="N43" i="38"/>
  <c r="S144" i="36" l="1"/>
  <c r="O53" i="38"/>
  <c r="O43" i="38"/>
  <c r="S46" i="39"/>
  <c r="S11" i="38"/>
  <c r="S20" i="38" s="1"/>
  <c r="U40" i="39"/>
  <c r="U41" i="39" s="1"/>
  <c r="T6" i="38"/>
  <c r="T144" i="36" s="1"/>
  <c r="Q46" i="39"/>
  <c r="Q11" i="38"/>
  <c r="Q20" i="38" s="1"/>
  <c r="R6" i="38"/>
  <c r="P46" i="39"/>
  <c r="P11" i="38"/>
  <c r="P20" i="38" s="1"/>
  <c r="U6" i="38" l="1"/>
  <c r="R46" i="39"/>
  <c r="R11" i="38"/>
  <c r="R20" i="38" s="1"/>
  <c r="R43" i="38" s="1"/>
  <c r="P53" i="38"/>
  <c r="P43" i="38"/>
  <c r="Q53" i="38"/>
  <c r="Q43" i="38"/>
  <c r="S53" i="38"/>
  <c r="S43" i="38"/>
  <c r="T46" i="39"/>
  <c r="T11" i="38"/>
  <c r="T20" i="38" s="1"/>
  <c r="U144" i="36" l="1"/>
  <c r="U46" i="39"/>
  <c r="U11" i="38"/>
  <c r="U20" i="38" s="1"/>
  <c r="T53" i="38"/>
  <c r="T43" i="38"/>
  <c r="U53" i="38" l="1"/>
  <c r="U43" i="38"/>
  <c r="G152" i="36" l="1"/>
  <c r="F152" i="36"/>
  <c r="E152" i="36"/>
  <c r="G151" i="36"/>
  <c r="F151" i="36"/>
  <c r="E151" i="36"/>
  <c r="K152" i="36"/>
  <c r="J152" i="36"/>
  <c r="I152" i="36"/>
  <c r="K151" i="36"/>
  <c r="J151" i="36"/>
  <c r="I151" i="36"/>
  <c r="U151" i="36"/>
  <c r="U152" i="36"/>
  <c r="S152" i="36"/>
  <c r="S151" i="36"/>
  <c r="T151" i="36"/>
  <c r="T152" i="36"/>
  <c r="T154" i="36" l="1"/>
  <c r="S154" i="36"/>
  <c r="U172" i="36"/>
  <c r="U124" i="36"/>
  <c r="U116" i="36"/>
  <c r="U113" i="36"/>
  <c r="U111" i="36"/>
  <c r="U109" i="36"/>
  <c r="U96" i="36"/>
  <c r="U89" i="36"/>
  <c r="U63" i="36"/>
  <c r="U58" i="36"/>
  <c r="U56" i="36"/>
  <c r="T79" i="36"/>
  <c r="S79" i="36"/>
  <c r="Q79" i="36"/>
  <c r="P79" i="36"/>
  <c r="O79" i="36"/>
  <c r="N79" i="36"/>
  <c r="L79" i="36"/>
  <c r="K79" i="36"/>
  <c r="J79" i="36"/>
  <c r="I79" i="36"/>
  <c r="N76" i="36"/>
  <c r="N77" i="36" s="1"/>
  <c r="I76" i="36"/>
  <c r="I77" i="36" s="1"/>
  <c r="L76" i="36"/>
  <c r="L77" i="36" s="1"/>
  <c r="K76" i="36"/>
  <c r="K77" i="36" s="1"/>
  <c r="J76" i="36"/>
  <c r="J77" i="36" s="1"/>
  <c r="F76" i="36"/>
  <c r="F77" i="36" s="1"/>
  <c r="G76" i="36"/>
  <c r="G77" i="36" s="1"/>
  <c r="E76" i="36"/>
  <c r="E77" i="36" s="1"/>
  <c r="G43" i="36"/>
  <c r="G44" i="36" s="1"/>
  <c r="F43" i="36"/>
  <c r="F44" i="36" s="1"/>
  <c r="E43" i="36"/>
  <c r="E44" i="36" s="1"/>
  <c r="L43" i="36"/>
  <c r="L44" i="36" s="1"/>
  <c r="K43" i="36"/>
  <c r="K44" i="36" s="1"/>
  <c r="J43" i="36"/>
  <c r="J44" i="36" s="1"/>
  <c r="I43" i="36"/>
  <c r="I44" i="36" s="1"/>
  <c r="N43" i="36"/>
  <c r="N44" i="36" s="1"/>
  <c r="T46" i="36"/>
  <c r="S46" i="36"/>
  <c r="Q46" i="36"/>
  <c r="P46" i="36"/>
  <c r="O46" i="36"/>
  <c r="N46" i="36"/>
  <c r="J46" i="36"/>
  <c r="K46" i="36"/>
  <c r="L46" i="36"/>
  <c r="I46" i="36"/>
  <c r="T172" i="36"/>
  <c r="T171" i="36"/>
  <c r="S165" i="36"/>
  <c r="T124" i="36"/>
  <c r="S124" i="36"/>
  <c r="T116" i="36"/>
  <c r="S116" i="36"/>
  <c r="T113" i="36"/>
  <c r="S113" i="36"/>
  <c r="T111" i="36"/>
  <c r="S111" i="36"/>
  <c r="T109" i="36"/>
  <c r="S109" i="36"/>
  <c r="T96" i="36"/>
  <c r="S96" i="36"/>
  <c r="T89" i="36"/>
  <c r="S89" i="36"/>
  <c r="T63" i="36"/>
  <c r="S63" i="36"/>
  <c r="T56" i="36"/>
  <c r="S56" i="36"/>
  <c r="S70" i="36"/>
  <c r="Q172" i="36" l="1"/>
  <c r="Q171" i="36"/>
  <c r="Q8" i="36"/>
  <c r="Q15" i="36"/>
  <c r="Q168" i="36"/>
  <c r="Q170" i="36" s="1"/>
  <c r="Q18" i="36" s="1"/>
  <c r="R5" i="36"/>
  <c r="R6" i="36"/>
  <c r="R7" i="36"/>
  <c r="R10" i="36"/>
  <c r="R11" i="36"/>
  <c r="R12" i="36"/>
  <c r="R13" i="36"/>
  <c r="R14" i="36"/>
  <c r="R9" i="36"/>
  <c r="R16" i="36"/>
  <c r="R20" i="36"/>
  <c r="R21" i="36"/>
  <c r="R22" i="36"/>
  <c r="R24" i="36"/>
  <c r="T26" i="36"/>
  <c r="O124" i="36"/>
  <c r="P124" i="36"/>
  <c r="Q124" i="36"/>
  <c r="Q116" i="36"/>
  <c r="Q113" i="36"/>
  <c r="Q111" i="36"/>
  <c r="Q109" i="36"/>
  <c r="Q103" i="36"/>
  <c r="Q96" i="36"/>
  <c r="Q89" i="36"/>
  <c r="Q63" i="36"/>
  <c r="Q56" i="36"/>
  <c r="P15" i="36"/>
  <c r="Q59" i="36"/>
  <c r="Q61" i="36" s="1"/>
  <c r="Q70" i="36"/>
  <c r="R78" i="36"/>
  <c r="R87" i="36"/>
  <c r="R88" i="36"/>
  <c r="Q92" i="36"/>
  <c r="Q94" i="36" s="1"/>
  <c r="R93" i="36"/>
  <c r="R95" i="36"/>
  <c r="R97" i="36"/>
  <c r="R99" i="36"/>
  <c r="R100" i="36"/>
  <c r="R104" i="36"/>
  <c r="R108" i="36"/>
  <c r="R110" i="36"/>
  <c r="R112" i="36"/>
  <c r="R114" i="36"/>
  <c r="R115" i="36"/>
  <c r="Q118" i="36"/>
  <c r="Q120" i="36" s="1"/>
  <c r="R119" i="36"/>
  <c r="R123" i="36"/>
  <c r="R125" i="36"/>
  <c r="R126" i="36"/>
  <c r="R127" i="36"/>
  <c r="R128" i="36"/>
  <c r="R129" i="36"/>
  <c r="Q130" i="36"/>
  <c r="Q133" i="36"/>
  <c r="Q134" i="36"/>
  <c r="Q135" i="36"/>
  <c r="Q136" i="36"/>
  <c r="R26" i="36"/>
  <c r="O50" i="36"/>
  <c r="P50" i="36" s="1"/>
  <c r="P52" i="36" s="1"/>
  <c r="P53" i="36" s="1"/>
  <c r="O83" i="36"/>
  <c r="P83" i="36" s="1"/>
  <c r="D63" i="36"/>
  <c r="E63" i="36"/>
  <c r="F63" i="36"/>
  <c r="G63" i="36"/>
  <c r="N96" i="36"/>
  <c r="O96" i="36"/>
  <c r="P96" i="36"/>
  <c r="P59" i="36"/>
  <c r="N92" i="36"/>
  <c r="O92" i="36"/>
  <c r="O94" i="36" s="1"/>
  <c r="P92" i="36"/>
  <c r="P101" i="36" s="1"/>
  <c r="D59" i="36"/>
  <c r="D61" i="36" s="1"/>
  <c r="E59" i="36"/>
  <c r="E65" i="36" s="1"/>
  <c r="F59" i="36"/>
  <c r="F68" i="36" s="1"/>
  <c r="G59" i="36"/>
  <c r="G65" i="36" s="1"/>
  <c r="I59" i="36"/>
  <c r="I65" i="36" s="1"/>
  <c r="J59" i="36"/>
  <c r="J61" i="36" s="1"/>
  <c r="K59" i="36"/>
  <c r="K68" i="36" s="1"/>
  <c r="L59" i="36"/>
  <c r="L65" i="36" s="1"/>
  <c r="N59" i="36"/>
  <c r="N61" i="36" s="1"/>
  <c r="O59" i="36"/>
  <c r="O65" i="36" s="1"/>
  <c r="P116" i="36"/>
  <c r="P111" i="36"/>
  <c r="H8" i="36"/>
  <c r="H15" i="36"/>
  <c r="M5" i="36"/>
  <c r="M6" i="36"/>
  <c r="M7" i="36"/>
  <c r="M10" i="36"/>
  <c r="M11" i="36"/>
  <c r="M12" i="36"/>
  <c r="M13" i="36"/>
  <c r="M14" i="36"/>
  <c r="M9" i="36"/>
  <c r="M16" i="36"/>
  <c r="M21" i="36"/>
  <c r="M22" i="36"/>
  <c r="M20" i="36"/>
  <c r="M24" i="36"/>
  <c r="N8" i="36"/>
  <c r="N15" i="36"/>
  <c r="O8" i="36"/>
  <c r="O15" i="36"/>
  <c r="P8" i="36"/>
  <c r="I8" i="36"/>
  <c r="I15" i="36"/>
  <c r="J8" i="36"/>
  <c r="J15" i="36"/>
  <c r="K8" i="36"/>
  <c r="K15" i="36"/>
  <c r="P155" i="36"/>
  <c r="Q155" i="36"/>
  <c r="S50" i="36"/>
  <c r="S83" i="36"/>
  <c r="I168" i="36"/>
  <c r="I170" i="36" s="1"/>
  <c r="I18" i="36" s="1"/>
  <c r="J168" i="36"/>
  <c r="J170" i="36" s="1"/>
  <c r="K163" i="36"/>
  <c r="L168" i="36"/>
  <c r="L170" i="36" s="1"/>
  <c r="L18" i="36" s="1"/>
  <c r="N168" i="36"/>
  <c r="N170" i="36" s="1"/>
  <c r="O168" i="36"/>
  <c r="O170" i="36" s="1"/>
  <c r="P168" i="36"/>
  <c r="P170" i="36" s="1"/>
  <c r="P18" i="36" s="1"/>
  <c r="L8" i="36"/>
  <c r="G9" i="36"/>
  <c r="L15" i="36"/>
  <c r="O41" i="36"/>
  <c r="O74" i="36"/>
  <c r="G5" i="36"/>
  <c r="G6" i="36"/>
  <c r="G134" i="36" s="1"/>
  <c r="G7" i="36"/>
  <c r="G135" i="36" s="1"/>
  <c r="F8" i="36"/>
  <c r="E8" i="36"/>
  <c r="D8" i="36"/>
  <c r="G10" i="36"/>
  <c r="G11" i="36"/>
  <c r="G12" i="36"/>
  <c r="G13" i="36"/>
  <c r="G14" i="36"/>
  <c r="G16" i="36"/>
  <c r="G136" i="36" s="1"/>
  <c r="G21" i="36"/>
  <c r="G22" i="36"/>
  <c r="G20" i="36"/>
  <c r="G24" i="36"/>
  <c r="F15" i="36"/>
  <c r="E15" i="36"/>
  <c r="D15" i="36"/>
  <c r="M26" i="36"/>
  <c r="P172" i="36"/>
  <c r="P28" i="36" s="1"/>
  <c r="O172" i="36"/>
  <c r="O28" i="36" s="1"/>
  <c r="N172" i="36"/>
  <c r="N28" i="36" s="1"/>
  <c r="K172" i="36"/>
  <c r="K28" i="36" s="1"/>
  <c r="G163" i="36"/>
  <c r="G165" i="36"/>
  <c r="F168" i="36"/>
  <c r="E168" i="36"/>
  <c r="E170" i="36" s="1"/>
  <c r="D163" i="36"/>
  <c r="D164" i="36"/>
  <c r="D165" i="36"/>
  <c r="F171" i="36"/>
  <c r="E171" i="36"/>
  <c r="H166" i="36"/>
  <c r="H167" i="36"/>
  <c r="F161" i="36"/>
  <c r="E161" i="36"/>
  <c r="E158" i="36"/>
  <c r="D157" i="36"/>
  <c r="N155" i="36"/>
  <c r="O155" i="36"/>
  <c r="I155" i="36"/>
  <c r="J155" i="36"/>
  <c r="K155" i="36"/>
  <c r="L155" i="36"/>
  <c r="E155" i="36"/>
  <c r="F154" i="36"/>
  <c r="G155" i="36"/>
  <c r="R154" i="36"/>
  <c r="M154" i="36"/>
  <c r="I28" i="36"/>
  <c r="J28" i="36"/>
  <c r="L28" i="36"/>
  <c r="D28" i="36"/>
  <c r="G28" i="36"/>
  <c r="G26" i="36"/>
  <c r="P70" i="36"/>
  <c r="P103" i="36"/>
  <c r="P118" i="36"/>
  <c r="P120" i="36" s="1"/>
  <c r="P130" i="36"/>
  <c r="P131" i="36" s="1"/>
  <c r="O70" i="36"/>
  <c r="O103" i="36"/>
  <c r="O118" i="36"/>
  <c r="O120" i="36" s="1"/>
  <c r="O130" i="36"/>
  <c r="O131" i="36" s="1"/>
  <c r="N70" i="36"/>
  <c r="N103" i="36"/>
  <c r="N118" i="36"/>
  <c r="N130" i="36"/>
  <c r="N131" i="36" s="1"/>
  <c r="L70" i="36"/>
  <c r="L92" i="36"/>
  <c r="L101" i="36" s="1"/>
  <c r="L103" i="36"/>
  <c r="L118" i="36"/>
  <c r="L130" i="36"/>
  <c r="K70" i="36"/>
  <c r="K92" i="36"/>
  <c r="K101" i="36" s="1"/>
  <c r="K103" i="36"/>
  <c r="K118" i="36"/>
  <c r="K120" i="36" s="1"/>
  <c r="K121" i="36" s="1"/>
  <c r="K130" i="36"/>
  <c r="J70" i="36"/>
  <c r="J92" i="36"/>
  <c r="J103" i="36"/>
  <c r="J118" i="36"/>
  <c r="J120" i="36" s="1"/>
  <c r="J121" i="36" s="1"/>
  <c r="J130" i="36"/>
  <c r="I70" i="36"/>
  <c r="I92" i="36"/>
  <c r="I94" i="36" s="1"/>
  <c r="I103" i="36"/>
  <c r="I118" i="36"/>
  <c r="I130" i="36"/>
  <c r="I131" i="36" s="1"/>
  <c r="G70" i="36"/>
  <c r="G92" i="36"/>
  <c r="G98" i="36" s="1"/>
  <c r="G103" i="36"/>
  <c r="G118" i="36"/>
  <c r="G120" i="36" s="1"/>
  <c r="G126" i="36"/>
  <c r="G130" i="36" s="1"/>
  <c r="F70" i="36"/>
  <c r="F92" i="36"/>
  <c r="F101" i="36" s="1"/>
  <c r="F103" i="36"/>
  <c r="F118" i="36"/>
  <c r="F130" i="36"/>
  <c r="E70" i="36"/>
  <c r="E92" i="36"/>
  <c r="E98" i="36" s="1"/>
  <c r="E103" i="36"/>
  <c r="E118" i="36"/>
  <c r="E120" i="36" s="1"/>
  <c r="E121" i="36" s="1"/>
  <c r="E130" i="36"/>
  <c r="E131" i="36" s="1"/>
  <c r="D70" i="36"/>
  <c r="D92" i="36"/>
  <c r="D101" i="36" s="1"/>
  <c r="D103" i="36"/>
  <c r="D118" i="36"/>
  <c r="D120" i="36" s="1"/>
  <c r="D121" i="36" s="1"/>
  <c r="D130" i="36"/>
  <c r="P136" i="36"/>
  <c r="O136" i="36"/>
  <c r="N136" i="36"/>
  <c r="L136" i="36"/>
  <c r="K136" i="36"/>
  <c r="J136" i="36"/>
  <c r="I136" i="36"/>
  <c r="F136" i="36"/>
  <c r="E136" i="36"/>
  <c r="D136" i="36"/>
  <c r="P135" i="36"/>
  <c r="O135" i="36"/>
  <c r="N135" i="36"/>
  <c r="L135" i="36"/>
  <c r="K135" i="36"/>
  <c r="J135" i="36"/>
  <c r="I135" i="36"/>
  <c r="F135" i="36"/>
  <c r="E135" i="36"/>
  <c r="D135" i="36"/>
  <c r="P134" i="36"/>
  <c r="O134" i="36"/>
  <c r="N134" i="36"/>
  <c r="L134" i="36"/>
  <c r="K134" i="36"/>
  <c r="J134" i="36"/>
  <c r="I134" i="36"/>
  <c r="F134" i="36"/>
  <c r="E134" i="36"/>
  <c r="D134" i="36"/>
  <c r="P133" i="36"/>
  <c r="O133" i="36"/>
  <c r="N133" i="36"/>
  <c r="L133" i="36"/>
  <c r="K133" i="36"/>
  <c r="J133" i="36"/>
  <c r="I133" i="36"/>
  <c r="F133" i="36"/>
  <c r="E133" i="36"/>
  <c r="D133" i="36"/>
  <c r="M123" i="36"/>
  <c r="M125" i="36"/>
  <c r="M126" i="36"/>
  <c r="M127" i="36"/>
  <c r="M128" i="36"/>
  <c r="M129" i="36"/>
  <c r="N124" i="36"/>
  <c r="H123" i="36"/>
  <c r="L124" i="36"/>
  <c r="K124" i="36"/>
  <c r="J124" i="36"/>
  <c r="I124" i="36"/>
  <c r="R117" i="36"/>
  <c r="M108" i="36"/>
  <c r="M110" i="36"/>
  <c r="M112" i="36"/>
  <c r="M114" i="36"/>
  <c r="M115" i="36"/>
  <c r="M117" i="36"/>
  <c r="M119" i="36"/>
  <c r="H108" i="36"/>
  <c r="H110" i="36"/>
  <c r="H112" i="36"/>
  <c r="H114" i="36"/>
  <c r="H115" i="36"/>
  <c r="H117" i="36"/>
  <c r="H119" i="36"/>
  <c r="O116" i="36"/>
  <c r="N116" i="36"/>
  <c r="L116" i="36"/>
  <c r="K116" i="36"/>
  <c r="J116" i="36"/>
  <c r="I116" i="36"/>
  <c r="G116" i="36"/>
  <c r="F116" i="36"/>
  <c r="E116" i="36"/>
  <c r="D116" i="36"/>
  <c r="P113" i="36"/>
  <c r="O113" i="36"/>
  <c r="N113" i="36"/>
  <c r="L113" i="36"/>
  <c r="K113" i="36"/>
  <c r="J113" i="36"/>
  <c r="I113" i="36"/>
  <c r="G113" i="36"/>
  <c r="F113" i="36"/>
  <c r="E113" i="36"/>
  <c r="D113" i="36"/>
  <c r="O111" i="36"/>
  <c r="N111" i="36"/>
  <c r="L111" i="36"/>
  <c r="K111" i="36"/>
  <c r="J111" i="36"/>
  <c r="I111" i="36"/>
  <c r="G111" i="36"/>
  <c r="F111" i="36"/>
  <c r="E111" i="36"/>
  <c r="D111" i="36"/>
  <c r="P109" i="36"/>
  <c r="O109" i="36"/>
  <c r="N109" i="36"/>
  <c r="L109" i="36"/>
  <c r="K109" i="36"/>
  <c r="J109" i="36"/>
  <c r="I109" i="36"/>
  <c r="M104" i="36"/>
  <c r="H104" i="36"/>
  <c r="R102" i="36"/>
  <c r="M93" i="36"/>
  <c r="M95" i="36"/>
  <c r="M97" i="36"/>
  <c r="M99" i="36"/>
  <c r="M100" i="36"/>
  <c r="M102" i="36"/>
  <c r="H93" i="36"/>
  <c r="H95" i="36"/>
  <c r="H97" i="36"/>
  <c r="H99" i="36"/>
  <c r="H100" i="36"/>
  <c r="H102" i="36"/>
  <c r="M78" i="36"/>
  <c r="L96" i="36"/>
  <c r="K96" i="36"/>
  <c r="J96" i="36"/>
  <c r="I96" i="36"/>
  <c r="H78" i="36"/>
  <c r="G96" i="36"/>
  <c r="F96" i="36"/>
  <c r="E96" i="36"/>
  <c r="D96" i="36"/>
  <c r="U91" i="36"/>
  <c r="T91" i="36"/>
  <c r="S91" i="36"/>
  <c r="R84" i="36"/>
  <c r="R75" i="36"/>
  <c r="Q91" i="36"/>
  <c r="P91" i="36"/>
  <c r="O91" i="36"/>
  <c r="N91" i="36"/>
  <c r="I84" i="36"/>
  <c r="J84" i="36"/>
  <c r="K84" i="36"/>
  <c r="I75" i="36"/>
  <c r="J75" i="36"/>
  <c r="K75" i="36"/>
  <c r="L75" i="36"/>
  <c r="D84" i="36"/>
  <c r="E84" i="36"/>
  <c r="F84" i="36"/>
  <c r="G84" i="36"/>
  <c r="D75" i="36"/>
  <c r="E75" i="36"/>
  <c r="F75" i="36"/>
  <c r="G75" i="36"/>
  <c r="N90" i="36"/>
  <c r="L90" i="36"/>
  <c r="K90" i="36"/>
  <c r="J90" i="36"/>
  <c r="I90" i="36"/>
  <c r="G90" i="36"/>
  <c r="F90" i="36"/>
  <c r="E90" i="36"/>
  <c r="D90" i="36"/>
  <c r="P89" i="36"/>
  <c r="O89" i="36"/>
  <c r="N89" i="36"/>
  <c r="L89" i="36"/>
  <c r="K89" i="36"/>
  <c r="J89" i="36"/>
  <c r="I89" i="36"/>
  <c r="M88" i="36"/>
  <c r="H88" i="36"/>
  <c r="M87" i="36"/>
  <c r="H87" i="36"/>
  <c r="N85" i="36"/>
  <c r="L85" i="36"/>
  <c r="K85" i="36"/>
  <c r="K86" i="36" s="1"/>
  <c r="J85" i="36"/>
  <c r="I85" i="36"/>
  <c r="G85" i="36"/>
  <c r="F85" i="36"/>
  <c r="F86" i="36" s="1"/>
  <c r="E85" i="36"/>
  <c r="D85" i="36"/>
  <c r="R83" i="36"/>
  <c r="M83" i="36"/>
  <c r="H83" i="36"/>
  <c r="M74" i="36"/>
  <c r="H74" i="36"/>
  <c r="H70" i="36"/>
  <c r="P63" i="36"/>
  <c r="O63" i="36"/>
  <c r="N63" i="36"/>
  <c r="L63" i="36"/>
  <c r="K63" i="36"/>
  <c r="J63" i="36"/>
  <c r="I63" i="36"/>
  <c r="S58" i="36"/>
  <c r="Q58" i="36"/>
  <c r="P58" i="36"/>
  <c r="O58" i="36"/>
  <c r="N58" i="36"/>
  <c r="I51" i="36"/>
  <c r="J51" i="36"/>
  <c r="K51" i="36"/>
  <c r="I42" i="36"/>
  <c r="J42" i="36"/>
  <c r="K42" i="36"/>
  <c r="L42" i="36"/>
  <c r="D51" i="36"/>
  <c r="E51" i="36"/>
  <c r="F51" i="36"/>
  <c r="G51" i="36"/>
  <c r="D42" i="36"/>
  <c r="E42" i="36"/>
  <c r="F42" i="36"/>
  <c r="G42" i="36"/>
  <c r="N57" i="36"/>
  <c r="L57" i="36"/>
  <c r="K57" i="36"/>
  <c r="J57" i="36"/>
  <c r="I57" i="36"/>
  <c r="G57" i="36"/>
  <c r="F57" i="36"/>
  <c r="E57" i="36"/>
  <c r="D57" i="36"/>
  <c r="P56" i="36"/>
  <c r="O56" i="36"/>
  <c r="N56" i="36"/>
  <c r="L56" i="36"/>
  <c r="K56" i="36"/>
  <c r="J56" i="36"/>
  <c r="I56" i="36"/>
  <c r="N52" i="36"/>
  <c r="N53" i="36" s="1"/>
  <c r="L52" i="36"/>
  <c r="K52" i="36"/>
  <c r="J52" i="36"/>
  <c r="J53" i="36" s="1"/>
  <c r="I52" i="36"/>
  <c r="I53" i="36" s="1"/>
  <c r="G52" i="36"/>
  <c r="F52" i="36"/>
  <c r="E52" i="36"/>
  <c r="E53" i="36" s="1"/>
  <c r="D52" i="36"/>
  <c r="D53" i="36" s="1"/>
  <c r="H45" i="36"/>
  <c r="L35" i="36"/>
  <c r="N35" i="36" s="1"/>
  <c r="R35" i="36" s="1"/>
  <c r="H35" i="36"/>
  <c r="Q151" i="36" l="1"/>
  <c r="Q152" i="36"/>
  <c r="P151" i="36"/>
  <c r="P152" i="36"/>
  <c r="O151" i="36"/>
  <c r="O152" i="36"/>
  <c r="N152" i="36"/>
  <c r="N151" i="36"/>
  <c r="L152" i="36"/>
  <c r="L151" i="36"/>
  <c r="L94" i="36"/>
  <c r="P74" i="36"/>
  <c r="Q74" i="36" s="1"/>
  <c r="O76" i="36"/>
  <c r="O77" i="36" s="1"/>
  <c r="K65" i="36"/>
  <c r="O85" i="36"/>
  <c r="O86" i="36" s="1"/>
  <c r="O43" i="36"/>
  <c r="O44" i="36" s="1"/>
  <c r="L98" i="36"/>
  <c r="F65" i="36"/>
  <c r="K105" i="36"/>
  <c r="K106" i="36" s="1"/>
  <c r="E71" i="36"/>
  <c r="E72" i="36" s="1"/>
  <c r="D98" i="36"/>
  <c r="D94" i="36"/>
  <c r="M35" i="36"/>
  <c r="O52" i="36"/>
  <c r="O53" i="36" s="1"/>
  <c r="J65" i="36"/>
  <c r="O57" i="36"/>
  <c r="K91" i="36"/>
  <c r="J140" i="36"/>
  <c r="I91" i="36"/>
  <c r="E101" i="36"/>
  <c r="Q85" i="36"/>
  <c r="Q86" i="36" s="1"/>
  <c r="P85" i="36"/>
  <c r="P86" i="36" s="1"/>
  <c r="E58" i="36"/>
  <c r="O90" i="36"/>
  <c r="M113" i="36"/>
  <c r="D71" i="36"/>
  <c r="D72" i="36" s="1"/>
  <c r="O140" i="36"/>
  <c r="N140" i="36"/>
  <c r="D65" i="36"/>
  <c r="F17" i="36"/>
  <c r="F141" i="36" s="1"/>
  <c r="D68" i="36"/>
  <c r="Q71" i="36"/>
  <c r="Q72" i="36" s="1"/>
  <c r="Q17" i="36"/>
  <c r="Q141" i="36" s="1"/>
  <c r="N65" i="36"/>
  <c r="F94" i="36"/>
  <c r="F98" i="36"/>
  <c r="K98" i="36"/>
  <c r="I140" i="36"/>
  <c r="K140" i="36"/>
  <c r="L71" i="36"/>
  <c r="L72" i="36" s="1"/>
  <c r="G168" i="36"/>
  <c r="G170" i="36" s="1"/>
  <c r="R96" i="36"/>
  <c r="F58" i="36"/>
  <c r="P140" i="36"/>
  <c r="K94" i="36"/>
  <c r="J71" i="36"/>
  <c r="J72" i="36" s="1"/>
  <c r="R8" i="36"/>
  <c r="E173" i="36"/>
  <c r="E18" i="36"/>
  <c r="M155" i="36"/>
  <c r="P71" i="36"/>
  <c r="P72" i="36" s="1"/>
  <c r="R155" i="36"/>
  <c r="M84" i="36"/>
  <c r="K58" i="36"/>
  <c r="J58" i="36"/>
  <c r="D91" i="36"/>
  <c r="H165" i="36"/>
  <c r="N105" i="36"/>
  <c r="N106" i="36" s="1"/>
  <c r="P61" i="36"/>
  <c r="N17" i="36"/>
  <c r="N141" i="36" s="1"/>
  <c r="Q28" i="36"/>
  <c r="R28" i="36" s="1"/>
  <c r="O17" i="36"/>
  <c r="O141" i="36" s="1"/>
  <c r="F61" i="36"/>
  <c r="K17" i="36"/>
  <c r="K141" i="36" s="1"/>
  <c r="H111" i="36"/>
  <c r="H113" i="36"/>
  <c r="H59" i="36"/>
  <c r="P98" i="36"/>
  <c r="M109" i="36"/>
  <c r="M8" i="36"/>
  <c r="M140" i="36" s="1"/>
  <c r="H116" i="36"/>
  <c r="G101" i="36"/>
  <c r="Q105" i="36"/>
  <c r="Q106" i="36" s="1"/>
  <c r="H92" i="36"/>
  <c r="H98" i="36" s="1"/>
  <c r="M15" i="36"/>
  <c r="G94" i="36"/>
  <c r="E17" i="36"/>
  <c r="E23" i="36" s="1"/>
  <c r="R15" i="36"/>
  <c r="H51" i="36"/>
  <c r="E86" i="36"/>
  <c r="M124" i="36"/>
  <c r="F105" i="36"/>
  <c r="L120" i="36"/>
  <c r="D17" i="36"/>
  <c r="P41" i="36"/>
  <c r="G15" i="36"/>
  <c r="E94" i="36"/>
  <c r="R109" i="36"/>
  <c r="F53" i="36"/>
  <c r="H84" i="36"/>
  <c r="I101" i="36"/>
  <c r="F71" i="36"/>
  <c r="I120" i="36"/>
  <c r="O105" i="36"/>
  <c r="L173" i="36"/>
  <c r="G86" i="36"/>
  <c r="J101" i="36"/>
  <c r="M116" i="36"/>
  <c r="O121" i="36"/>
  <c r="M130" i="36"/>
  <c r="H154" i="36"/>
  <c r="G53" i="36"/>
  <c r="I58" i="36"/>
  <c r="P121" i="36"/>
  <c r="I105" i="36"/>
  <c r="K131" i="36"/>
  <c r="O71" i="36"/>
  <c r="M28" i="36"/>
  <c r="F170" i="36"/>
  <c r="N173" i="36"/>
  <c r="D58" i="36"/>
  <c r="I86" i="36"/>
  <c r="M92" i="36"/>
  <c r="M98" i="36" s="1"/>
  <c r="E105" i="36"/>
  <c r="G131" i="36"/>
  <c r="G8" i="36"/>
  <c r="Q140" i="36"/>
  <c r="S85" i="36"/>
  <c r="S86" i="36" s="1"/>
  <c r="T83" i="36"/>
  <c r="J94" i="36"/>
  <c r="H103" i="36"/>
  <c r="H164" i="36"/>
  <c r="L58" i="36"/>
  <c r="J86" i="36"/>
  <c r="D131" i="36"/>
  <c r="I71" i="36"/>
  <c r="N120" i="36"/>
  <c r="H163" i="36"/>
  <c r="O173" i="36"/>
  <c r="G58" i="36"/>
  <c r="J91" i="36"/>
  <c r="I61" i="36"/>
  <c r="I68" i="36"/>
  <c r="E91" i="36"/>
  <c r="I98" i="36"/>
  <c r="G121" i="36"/>
  <c r="R124" i="36"/>
  <c r="O18" i="36"/>
  <c r="G61" i="36"/>
  <c r="G68" i="36"/>
  <c r="K53" i="36"/>
  <c r="H42" i="36"/>
  <c r="F91" i="36"/>
  <c r="L91" i="36"/>
  <c r="J98" i="36"/>
  <c r="M111" i="36"/>
  <c r="G105" i="36"/>
  <c r="J131" i="36"/>
  <c r="P105" i="36"/>
  <c r="N18" i="36"/>
  <c r="P173" i="36"/>
  <c r="L17" i="36"/>
  <c r="G91" i="36"/>
  <c r="M75" i="36"/>
  <c r="M118" i="36"/>
  <c r="D105" i="36"/>
  <c r="F131" i="36"/>
  <c r="K71" i="36"/>
  <c r="N71" i="36"/>
  <c r="F28" i="36"/>
  <c r="I173" i="36"/>
  <c r="E28" i="36"/>
  <c r="D168" i="36"/>
  <c r="J17" i="36"/>
  <c r="D86" i="36"/>
  <c r="H75" i="36"/>
  <c r="H96" i="36"/>
  <c r="H118" i="36"/>
  <c r="G133" i="36"/>
  <c r="F120" i="36"/>
  <c r="G71" i="36"/>
  <c r="L131" i="36"/>
  <c r="J18" i="36"/>
  <c r="F155" i="36"/>
  <c r="D158" i="36"/>
  <c r="J173" i="36"/>
  <c r="K168" i="36"/>
  <c r="J105" i="36"/>
  <c r="E61" i="36"/>
  <c r="O101" i="36"/>
  <c r="I17" i="36"/>
  <c r="H17" i="36"/>
  <c r="P94" i="36"/>
  <c r="N101" i="36"/>
  <c r="O98" i="36"/>
  <c r="P68" i="36"/>
  <c r="E68" i="36"/>
  <c r="Q52" i="36"/>
  <c r="Q53" i="36" s="1"/>
  <c r="N94" i="36"/>
  <c r="O68" i="36"/>
  <c r="N98" i="36"/>
  <c r="O61" i="36"/>
  <c r="N68" i="36"/>
  <c r="P65" i="36"/>
  <c r="P17" i="36"/>
  <c r="K61" i="36"/>
  <c r="J68" i="36"/>
  <c r="Q173" i="36"/>
  <c r="T136" i="36"/>
  <c r="R91" i="36"/>
  <c r="L86" i="36"/>
  <c r="N86" i="36"/>
  <c r="S52" i="36"/>
  <c r="S53" i="36" s="1"/>
  <c r="T50" i="36"/>
  <c r="T52" i="36" s="1"/>
  <c r="T53" i="36" s="1"/>
  <c r="L53" i="36"/>
  <c r="S168" i="36"/>
  <c r="R130" i="36"/>
  <c r="Q131" i="36"/>
  <c r="R116" i="36"/>
  <c r="R113" i="36"/>
  <c r="R118" i="36"/>
  <c r="R120" i="36" s="1"/>
  <c r="R111" i="36"/>
  <c r="Q121" i="36"/>
  <c r="R103" i="36"/>
  <c r="R92" i="36"/>
  <c r="Q98" i="36"/>
  <c r="Q101" i="36"/>
  <c r="M96" i="36"/>
  <c r="M103" i="36"/>
  <c r="L105" i="36"/>
  <c r="Q65" i="36"/>
  <c r="Q68" i="36"/>
  <c r="L61" i="36"/>
  <c r="L68" i="36"/>
  <c r="H155" i="36" l="1"/>
  <c r="P76" i="36"/>
  <c r="P77" i="36" s="1"/>
  <c r="U83" i="36"/>
  <c r="U85" i="36" s="1"/>
  <c r="T85" i="36"/>
  <c r="T86" i="36" s="1"/>
  <c r="S74" i="36"/>
  <c r="S76" i="36" s="1"/>
  <c r="S77" i="36" s="1"/>
  <c r="P90" i="36"/>
  <c r="Q76" i="36"/>
  <c r="Q77" i="36" s="1"/>
  <c r="F23" i="36"/>
  <c r="F143" i="36" s="1"/>
  <c r="P43" i="36"/>
  <c r="P44" i="36" s="1"/>
  <c r="N23" i="36"/>
  <c r="N25" i="36" s="1"/>
  <c r="M101" i="36"/>
  <c r="M94" i="36"/>
  <c r="R74" i="36"/>
  <c r="Q90" i="36"/>
  <c r="R17" i="36"/>
  <c r="Q23" i="36"/>
  <c r="Q25" i="36" s="1"/>
  <c r="M91" i="36"/>
  <c r="Q19" i="36"/>
  <c r="Q29" i="36" s="1"/>
  <c r="H94" i="36"/>
  <c r="K23" i="36"/>
  <c r="K25" i="36" s="1"/>
  <c r="O23" i="36"/>
  <c r="O25" i="36" s="1"/>
  <c r="P137" i="36"/>
  <c r="R140" i="36"/>
  <c r="D137" i="36"/>
  <c r="R105" i="36"/>
  <c r="R106" i="36" s="1"/>
  <c r="M17" i="36"/>
  <c r="H101" i="36"/>
  <c r="E19" i="36"/>
  <c r="E142" i="36" s="1"/>
  <c r="E141" i="36"/>
  <c r="L137" i="36"/>
  <c r="H28" i="36"/>
  <c r="P23" i="36"/>
  <c r="P141" i="36"/>
  <c r="P19" i="36"/>
  <c r="H23" i="36"/>
  <c r="H141" i="36"/>
  <c r="K170" i="36"/>
  <c r="J141" i="36"/>
  <c r="J19" i="36"/>
  <c r="J23" i="36"/>
  <c r="G173" i="36"/>
  <c r="G18" i="36"/>
  <c r="G17" i="36"/>
  <c r="G137" i="36" s="1"/>
  <c r="L121" i="36"/>
  <c r="N72" i="36"/>
  <c r="N137" i="36"/>
  <c r="H168" i="36"/>
  <c r="F173" i="36"/>
  <c r="F18" i="36"/>
  <c r="F106" i="36"/>
  <c r="K72" i="36"/>
  <c r="K137" i="36"/>
  <c r="E137" i="36"/>
  <c r="E106" i="36"/>
  <c r="O137" i="36"/>
  <c r="O72" i="36"/>
  <c r="O106" i="36"/>
  <c r="D106" i="36"/>
  <c r="H105" i="36"/>
  <c r="R18" i="36"/>
  <c r="N121" i="36"/>
  <c r="I121" i="36"/>
  <c r="Q41" i="36"/>
  <c r="P57" i="36"/>
  <c r="M131" i="36"/>
  <c r="I23" i="36"/>
  <c r="I141" i="36"/>
  <c r="I19" i="36"/>
  <c r="G72" i="36"/>
  <c r="M120" i="36"/>
  <c r="P106" i="36"/>
  <c r="I72" i="36"/>
  <c r="I137" i="36"/>
  <c r="I106" i="36"/>
  <c r="F72" i="36"/>
  <c r="F137" i="36"/>
  <c r="H58" i="36"/>
  <c r="R131" i="36"/>
  <c r="J137" i="36"/>
  <c r="J106" i="36"/>
  <c r="F121" i="36"/>
  <c r="H120" i="36"/>
  <c r="N19" i="36"/>
  <c r="Q137" i="36"/>
  <c r="S136" i="36"/>
  <c r="G106" i="36"/>
  <c r="E25" i="36"/>
  <c r="E143" i="36"/>
  <c r="H91" i="36"/>
  <c r="D170" i="36"/>
  <c r="D23" i="36"/>
  <c r="D141" i="36"/>
  <c r="H71" i="36"/>
  <c r="L140" i="36"/>
  <c r="L141" i="36"/>
  <c r="L23" i="36"/>
  <c r="L19" i="36"/>
  <c r="O19" i="36"/>
  <c r="T135" i="36"/>
  <c r="S135" i="36"/>
  <c r="S92" i="36"/>
  <c r="T58" i="36"/>
  <c r="U50" i="36"/>
  <c r="S170" i="36"/>
  <c r="S173" i="36" s="1"/>
  <c r="R121" i="36"/>
  <c r="R101" i="36"/>
  <c r="R98" i="36"/>
  <c r="R94" i="36"/>
  <c r="M105" i="36"/>
  <c r="M106" i="36" s="1"/>
  <c r="L106" i="36"/>
  <c r="S90" i="36" l="1"/>
  <c r="F25" i="36"/>
  <c r="T74" i="36"/>
  <c r="T76" i="36" s="1"/>
  <c r="T77" i="36" s="1"/>
  <c r="K143" i="36"/>
  <c r="Q43" i="36"/>
  <c r="Q44" i="36" s="1"/>
  <c r="U135" i="36"/>
  <c r="R23" i="36"/>
  <c r="R143" i="36" s="1"/>
  <c r="M141" i="36"/>
  <c r="N143" i="36"/>
  <c r="R141" i="36"/>
  <c r="Q142" i="36"/>
  <c r="Q143" i="36"/>
  <c r="M23" i="36"/>
  <c r="M143" i="36" s="1"/>
  <c r="O143" i="36"/>
  <c r="S101" i="36"/>
  <c r="S98" i="36"/>
  <c r="S94" i="36"/>
  <c r="E29" i="36"/>
  <c r="E34" i="36" s="1"/>
  <c r="E27" i="36"/>
  <c r="O27" i="36"/>
  <c r="M121" i="36"/>
  <c r="N27" i="36"/>
  <c r="U155" i="36"/>
  <c r="P143" i="36"/>
  <c r="P25" i="36"/>
  <c r="Q27" i="36"/>
  <c r="P29" i="36"/>
  <c r="P142" i="36"/>
  <c r="F19" i="36"/>
  <c r="L29" i="36"/>
  <c r="L142" i="36"/>
  <c r="I142" i="36"/>
  <c r="I29" i="36"/>
  <c r="Q57" i="36"/>
  <c r="S41" i="36"/>
  <c r="L25" i="36"/>
  <c r="D173" i="36"/>
  <c r="D18" i="36"/>
  <c r="H121" i="36"/>
  <c r="K27" i="36"/>
  <c r="J25" i="36"/>
  <c r="J143" i="36"/>
  <c r="H25" i="36"/>
  <c r="H143" i="36"/>
  <c r="I25" i="36"/>
  <c r="I143" i="36"/>
  <c r="J29" i="36"/>
  <c r="J142" i="36"/>
  <c r="H72" i="36"/>
  <c r="D143" i="36"/>
  <c r="D25" i="36"/>
  <c r="G141" i="36"/>
  <c r="G19" i="36"/>
  <c r="G23" i="36"/>
  <c r="O142" i="36"/>
  <c r="O29" i="36"/>
  <c r="H106" i="36"/>
  <c r="Q34" i="36"/>
  <c r="K18" i="36"/>
  <c r="K173" i="36"/>
  <c r="R19" i="36"/>
  <c r="N142" i="36"/>
  <c r="N29" i="36"/>
  <c r="T133" i="36"/>
  <c r="S133" i="36"/>
  <c r="S59" i="36"/>
  <c r="S134" i="36"/>
  <c r="U52" i="36"/>
  <c r="S18" i="36"/>
  <c r="U136" i="36"/>
  <c r="T90" i="36" l="1"/>
  <c r="U74" i="36"/>
  <c r="U76" i="36" s="1"/>
  <c r="R25" i="36"/>
  <c r="F27" i="36"/>
  <c r="F32" i="36" s="1"/>
  <c r="S43" i="36"/>
  <c r="S44" i="36" s="1"/>
  <c r="M25" i="36"/>
  <c r="S61" i="36"/>
  <c r="S68" i="36"/>
  <c r="S65" i="36"/>
  <c r="Q32" i="36"/>
  <c r="Q33" i="36"/>
  <c r="K33" i="36"/>
  <c r="K32" i="36"/>
  <c r="S57" i="36"/>
  <c r="T41" i="36"/>
  <c r="O33" i="36"/>
  <c r="O32" i="36"/>
  <c r="G25" i="36"/>
  <c r="G143" i="36"/>
  <c r="J34" i="36"/>
  <c r="I27" i="36"/>
  <c r="I34" i="36"/>
  <c r="N34" i="36"/>
  <c r="P27" i="36"/>
  <c r="O34" i="36"/>
  <c r="H18" i="36"/>
  <c r="D19" i="36"/>
  <c r="N32" i="36"/>
  <c r="N33" i="36"/>
  <c r="E32" i="36"/>
  <c r="E33" i="36"/>
  <c r="F142" i="36"/>
  <c r="F29" i="36"/>
  <c r="H27" i="36"/>
  <c r="L34" i="36"/>
  <c r="G142" i="36"/>
  <c r="G29" i="36"/>
  <c r="T92" i="36"/>
  <c r="R29" i="36"/>
  <c r="R142" i="36"/>
  <c r="P34" i="36"/>
  <c r="K19" i="36"/>
  <c r="M18" i="36"/>
  <c r="D27" i="36"/>
  <c r="J27" i="36"/>
  <c r="L27" i="36"/>
  <c r="T134" i="36"/>
  <c r="T59" i="36"/>
  <c r="S8" i="36"/>
  <c r="S28" i="36"/>
  <c r="T168" i="36"/>
  <c r="U90" i="36" l="1"/>
  <c r="R27" i="36"/>
  <c r="R31" i="36" s="1"/>
  <c r="R33" i="36" s="1"/>
  <c r="F33" i="36"/>
  <c r="T43" i="36"/>
  <c r="T44" i="36" s="1"/>
  <c r="M27" i="36"/>
  <c r="M31" i="36" s="1"/>
  <c r="T98" i="36"/>
  <c r="T94" i="36"/>
  <c r="T101" i="36"/>
  <c r="T61" i="36"/>
  <c r="T68" i="36"/>
  <c r="T65" i="36"/>
  <c r="U168" i="36"/>
  <c r="J33" i="36"/>
  <c r="J32" i="36"/>
  <c r="F34" i="36"/>
  <c r="H19" i="36"/>
  <c r="P32" i="36"/>
  <c r="P33" i="36"/>
  <c r="T57" i="36"/>
  <c r="U41" i="36"/>
  <c r="D29" i="36"/>
  <c r="D142" i="36"/>
  <c r="G34" i="36"/>
  <c r="L147" i="36" s="1"/>
  <c r="J147" i="36"/>
  <c r="D32" i="36"/>
  <c r="D33" i="36"/>
  <c r="O147" i="36"/>
  <c r="I33" i="36"/>
  <c r="I32" i="36"/>
  <c r="G27" i="36"/>
  <c r="H32" i="36"/>
  <c r="H33" i="36"/>
  <c r="R30" i="36"/>
  <c r="R32" i="36" s="1"/>
  <c r="M19" i="36"/>
  <c r="Q147" i="36"/>
  <c r="K29" i="36"/>
  <c r="K142" i="36"/>
  <c r="L33" i="36"/>
  <c r="L32" i="36"/>
  <c r="N147" i="36"/>
  <c r="S140" i="36"/>
  <c r="T8" i="36"/>
  <c r="T170" i="36"/>
  <c r="T173" i="36" s="1"/>
  <c r="U43" i="36" l="1"/>
  <c r="M30" i="36"/>
  <c r="M32" i="36" s="1"/>
  <c r="R34" i="36"/>
  <c r="S71" i="36"/>
  <c r="K34" i="36"/>
  <c r="R36" i="36"/>
  <c r="S130" i="36"/>
  <c r="S118" i="36"/>
  <c r="S103" i="36"/>
  <c r="H36" i="36"/>
  <c r="M33" i="36"/>
  <c r="D34" i="36"/>
  <c r="G33" i="36"/>
  <c r="G32" i="36"/>
  <c r="M142" i="36"/>
  <c r="M29" i="36"/>
  <c r="U57" i="36"/>
  <c r="H29" i="36"/>
  <c r="H142" i="36"/>
  <c r="T140" i="36"/>
  <c r="U170" i="36"/>
  <c r="T18" i="36"/>
  <c r="U8" i="36" l="1"/>
  <c r="S72" i="36"/>
  <c r="M36" i="36"/>
  <c r="H34" i="36"/>
  <c r="S15" i="36"/>
  <c r="S120" i="36"/>
  <c r="S131" i="36"/>
  <c r="S105" i="36"/>
  <c r="M34" i="36"/>
  <c r="K147" i="36"/>
  <c r="P147" i="36"/>
  <c r="I147" i="36"/>
  <c r="U18" i="36"/>
  <c r="T28" i="36"/>
  <c r="U140" i="36" l="1"/>
  <c r="M147" i="36"/>
  <c r="R147" i="36"/>
  <c r="S121" i="36"/>
  <c r="S17" i="36"/>
  <c r="S137" i="36" s="1"/>
  <c r="S106" i="36"/>
  <c r="S141" i="36" l="1"/>
  <c r="S19" i="36"/>
  <c r="T130" i="36"/>
  <c r="T70" i="36"/>
  <c r="T103" i="36"/>
  <c r="T118" i="36"/>
  <c r="U118" i="36" l="1"/>
  <c r="S142" i="36"/>
  <c r="U130" i="36"/>
  <c r="T71" i="36"/>
  <c r="T15" i="36"/>
  <c r="T105" i="36"/>
  <c r="T120" i="36"/>
  <c r="T131" i="36"/>
  <c r="U131" i="36" l="1"/>
  <c r="T106" i="36"/>
  <c r="U120" i="36"/>
  <c r="T121" i="36"/>
  <c r="T17" i="36"/>
  <c r="T72" i="36"/>
  <c r="U15" i="36" l="1"/>
  <c r="T137" i="36"/>
  <c r="T19" i="36"/>
  <c r="T141" i="36"/>
  <c r="U121" i="36"/>
  <c r="U17" i="36" l="1"/>
  <c r="U141" i="36" s="1"/>
  <c r="T142" i="36"/>
  <c r="U19" i="36" l="1"/>
  <c r="U142" i="36" s="1"/>
  <c r="S23" i="36" l="1"/>
  <c r="S143" i="36" s="1"/>
  <c r="S25" i="36" l="1"/>
  <c r="S29" i="36"/>
  <c r="S34" i="36" l="1"/>
  <c r="S27" i="36"/>
  <c r="S147" i="36" l="1"/>
  <c r="S32" i="36"/>
  <c r="S33" i="36"/>
  <c r="T23" i="36" l="1"/>
  <c r="T143" i="36" s="1"/>
  <c r="T25" i="36" l="1"/>
  <c r="T29" i="36"/>
  <c r="T34" i="36" l="1"/>
  <c r="T27" i="36"/>
  <c r="T147" i="36" l="1"/>
  <c r="T32" i="36"/>
  <c r="T33" i="36"/>
  <c r="U23" i="36" l="1"/>
  <c r="U143" i="36" s="1"/>
  <c r="U25" i="36" l="1"/>
  <c r="U27" i="36" l="1"/>
  <c r="U33" i="36" l="1"/>
  <c r="U32" i="36"/>
  <c r="U44" i="36" l="1"/>
  <c r="U46" i="36"/>
  <c r="U59" i="36" l="1"/>
  <c r="U53" i="36"/>
  <c r="U68" i="36" l="1"/>
  <c r="U65" i="36"/>
  <c r="U61" i="36"/>
  <c r="U70" i="36" l="1"/>
  <c r="U71" i="36" s="1"/>
  <c r="U72" i="36" l="1"/>
  <c r="U133" i="36" l="1"/>
  <c r="U77" i="36"/>
  <c r="U79" i="36"/>
  <c r="U92" i="36" l="1"/>
  <c r="U134" i="36"/>
  <c r="U86" i="36"/>
  <c r="U101" i="36" l="1"/>
  <c r="U98" i="36"/>
  <c r="U94" i="36"/>
  <c r="U103" i="36" l="1"/>
  <c r="U105" i="36" s="1"/>
  <c r="U137" i="36" l="1"/>
  <c r="U106" i="36"/>
  <c r="U28" i="36" l="1"/>
  <c r="U29" i="36" s="1"/>
  <c r="U34" i="36" s="1"/>
  <c r="U173" i="36"/>
  <c r="U147"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FC4173FE-3CB6-4A20-9DD5-53F8529DE92D}">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DA0F198E-4BE8-4B90-B0D2-097503E23726}">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5CE4FDFF-0836-4E2B-AF7C-2D8AA0FE8CE7}">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4DD90310-88BF-4CF7-922C-FE5BBB3A71B1}">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FD9E95BF-B6DE-4039-A1F4-0091DE5B9BF0}">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AB99DEB7-E9C8-4606-9AB7-0AD19AEA6332}">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9791231D-845A-449D-8BE8-93E54C344658}">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9C244ACF-BB1B-4BAF-BFC6-0D5355F220F2}">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5C883CCE-6819-4DFB-8DFE-2675FBFC4DE8}">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EBC2D1C8-EB76-4A09-A165-00575EE794BE}">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7959FD05-22DC-4B26-9949-9D693F49A31F}">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18046147-CACD-4B42-B42A-5E4E456F3072}">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2D466054-3497-4B9F-A654-7C408E9390A6}">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425CBD2F-7389-4EB1-9067-BF5E17987AF5}">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6238CEC7-BEF8-4673-9056-CB25FDE62DAB}">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3C474D17-A5C2-4808-87EF-7885E0783CF1}">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D7336DF9-F522-4546-B771-FBE7AD16F236}">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84152034-FA18-4F06-A203-A74731492ECE}">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B521454C-8602-4F5A-872C-3C7D5EE45817}">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5208089E-7D93-4545-A81B-9729E91254D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DDD88715-BBCF-4D4F-AF4B-4878A9FC9C8D}">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3C9A7756-3B4B-4679-A466-9A78FF6CC450}">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155B7C85-03A1-4BB0-B0C7-B9865A702162}">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6DD9557C-53CB-49F6-9B0C-3A4F05ED8FDB}">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45B28F27-923E-43CE-8BD8-4C992C8D3AFA}">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57CB2C40-033B-4B95-BB90-AC1EE291FE7F}">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6C94CC9A-FA60-46D4-9AFB-1F0B116D0935}">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AFF09461-63F4-4A41-95CD-DB8925B1A458}">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C2C387A3-4923-47BC-899D-F580A405E86E}">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6DEEA8A7-C930-4027-8E79-9DC28E7C1B83}">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AC427072-5199-4EC0-A9D2-61D9953B8278}">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C6A28E9A-2BF6-4CC7-86FF-A80B318C215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ADF09FB6-08B0-402A-BBDB-236793D54F89}">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154595BD-4431-4AB9-A14D-8C6D49818259}">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A566C189-957D-4C02-9263-C339BF84988E}">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D42E38DE-FBCA-4959-977A-C9F9B71A8973}">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4E840D5A-09F0-46EF-807F-8C571E18F7D3}">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45EFC18F-0508-423F-BE1F-4E8F984485EB}">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L35" authorId="1" shapeId="0" xr:uid="{BF7BC5B1-9019-4DAC-827A-892DE5EDCF6A}">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B40" authorId="0" shapeId="0" xr:uid="{5BE65310-F8BE-4C56-87AB-4E863B6DAE2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0E2733A7-7C6D-4455-B03F-28D4D900AC98}">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D231A052-7CF8-4DE9-86A4-FCBD44C82C4C}">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BED616A1-E448-4D42-9B2A-7AE9504C6031}">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BA14AE02-3979-4508-9925-DCAA5ADA4390}">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511D3A20-BCAD-4D38-BCCB-C4D27247F74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04F1E402-EF0E-42C9-B684-EF0289A8FAC3}">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5CA4B7B0-EB99-4281-B99C-176567519924}">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DF28B33A-AD36-422F-ACAF-18B236AEBEDE}">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F839E160-003B-4D5B-B8E8-89BC34623438}">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73C91A52-9169-44FE-897B-2AEDBCB63342}">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2DE70375-7909-4A0F-8388-F300F05FA5C9}">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D205546F-D29C-465F-A05B-5A174E3E364B}">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DE3BDDF8-7560-4B19-9994-3E973CC32463}">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BD5DA2D8-5672-4693-B276-0C646153377D}">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2987A97C-7544-45CD-B21C-9BD9FB0F1891}">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620781FB-AEC9-4FBD-A68B-8F4D077D028C}">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A66FC5B3-09B0-4B24-B46F-795ECF80F7FC}">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E4DB7D9F-BD95-4ED9-B85B-9FC0C6574E9D}">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7BBCDE31-DD94-4426-81DB-EAA997C2352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01704175-429A-47F5-B9BA-A1C252EFCFFF}">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E8785240-1783-48B0-A92E-E0BF58DA2EFD}">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10804E00-FA9D-47CA-A879-C2CC4F179012}">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3D9B9803-EB71-4401-8DA2-06B1A1A74425}">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1AD2A546-8CBF-4261-B339-04437C6B3ADA}">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75D13763-67BC-405E-88D7-39D104C3D076}">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35EBC08A-45B1-47F1-B1A5-43E8784B65EB}">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68AF3152-DF11-41B8-937F-AE6A09DAE465}">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4D60D761-7357-41A7-B2A9-236327C20B93}">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949A6226-E323-48C3-A679-FF53F688AC93}">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2480D8FB-83DD-4FDE-B322-410E9B404F6C}">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66B089D0-BE52-4E27-8B26-C38A6003A96D}">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8A6C5BE3-47A2-4474-804D-8CD5CF704B2D}">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7A205AD4-56A7-40D5-8915-EFC9B4DEF5B0}">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EDD0E7A8-F13E-4A34-A4FF-73D72D954C92}">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92D456D5-110A-4474-ABE1-ADC7BD423C71}">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5312E305-9894-4F77-A73B-CA142549DE86}">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754A029F-AFF1-43CD-BEEF-9ACC30A9C38A}">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7EB92423-D38D-4B20-9CB4-DD33C65EDED5}">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H140" authorId="1" shapeId="0" xr:uid="{0B8C9A3B-A74E-488F-88B1-B7E6A2C0D3A2}">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DB6D06B5-14FC-48CA-BC3C-5CDCBBE416DD}">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R141" authorId="0" shapeId="0" xr:uid="{E5BB554B-B60C-438B-81D3-0D3F27F34080}">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FE027E3D-84B0-4F3D-BE91-D8C5EB06162A}">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H143" authorId="1" shapeId="0" xr:uid="{B1087744-88E4-46CF-A5A4-CA94C83BEDF8}">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9978783A-8063-4704-BDE0-68854B5A7921}">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E85CBCB5-5BE2-4EBC-91A1-7EDAFF3FF39C}">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B150" authorId="1" shapeId="0" xr:uid="{DEC99592-60F8-4237-A3AF-C12FFFDD676D}">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B165" authorId="1" shapeId="0" xr:uid="{69FDD77B-4BBD-4E6D-BFDB-AA8A8FEF59B2}">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0A7519ED-36AE-486E-9ACE-D0FCBECA0496}">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8507D281-FAA7-4AF9-A8E8-6AF1772B2BCE}">
      <text>
        <r>
          <rPr>
            <b/>
            <sz val="9"/>
            <color indexed="81"/>
            <rFont val="Tahoma"/>
            <family val="2"/>
          </rPr>
          <t>Enter negative EPS income tax effect as positive on this line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C3D1887E-4FA1-4984-B7BC-3E240900F093}">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8A6C0302-CA1E-4A3E-B9F0-1DBFC037AFB4}">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466FBD72-28A3-4C3B-B752-78AE8F849F7F}">
      <text>
        <r>
          <rPr>
            <b/>
            <sz val="9"/>
            <color indexed="81"/>
            <rFont val="Tahoma"/>
            <family val="2"/>
          </rPr>
          <t>Note: Use the company's 10-K not SEC web data</t>
        </r>
      </text>
    </comment>
    <comment ref="B17" authorId="0" shapeId="0" xr:uid="{A110C775-40D5-4FD1-850D-2C4864DE944C}">
      <text>
        <r>
          <rPr>
            <b/>
            <sz val="9"/>
            <color indexed="81"/>
            <rFont val="Tahoma"/>
            <family val="2"/>
          </rPr>
          <t>Change sign</t>
        </r>
      </text>
    </comment>
    <comment ref="B21" authorId="0" shapeId="0" xr:uid="{5CF40A0E-3F24-4569-9F79-D58B8225F93A}">
      <text>
        <r>
          <rPr>
            <b/>
            <sz val="9"/>
            <color indexed="81"/>
            <rFont val="Tahoma"/>
            <family val="2"/>
          </rPr>
          <t>Change sign</t>
        </r>
      </text>
    </comment>
    <comment ref="H25" authorId="0" shapeId="0" xr:uid="{8A347FC7-DFFE-495B-AFD4-CD2DC1F7678A}">
      <text>
        <r>
          <rPr>
            <b/>
            <sz val="9"/>
            <color indexed="81"/>
            <rFont val="Tahoma"/>
            <family val="2"/>
          </rPr>
          <t xml:space="preserve">3Q2019 Earnings call (7/25/2019) guidance for FY2019:
</t>
        </r>
        <r>
          <rPr>
            <sz val="9"/>
            <color indexed="81"/>
            <rFont val="Tahoma"/>
            <family val="2"/>
          </rPr>
          <t>Capex ~ $2B</t>
        </r>
      </text>
    </comment>
    <comment ref="M25" authorId="0" shapeId="0" xr:uid="{8EC71DFD-D913-4240-A092-D1F9E4F86775}">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865DAAC5-F29D-4B30-A74B-78572192BBA0}">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B29" authorId="0" shapeId="0" xr:uid="{3733CC76-26CB-42F0-BF94-0A2E3347C02F}">
      <text>
        <r>
          <rPr>
            <b/>
            <sz val="9"/>
            <color indexed="81"/>
            <rFont val="Tahoma"/>
            <family val="2"/>
          </rPr>
          <t>Change sign for payments of debt</t>
        </r>
      </text>
    </comment>
    <comment ref="B42" authorId="0" shapeId="0" xr:uid="{5DD02FCE-6538-4E37-9BE7-C31C9663FAB4}">
      <text>
        <r>
          <rPr>
            <sz val="9"/>
            <color indexed="81"/>
            <rFont val="Tahoma"/>
            <family val="2"/>
          </rPr>
          <t>Cash Flow from Operations - Capital Expenditures + After tax Interest Expense</t>
        </r>
      </text>
    </comment>
  </commentList>
</comments>
</file>

<file path=xl/sharedStrings.xml><?xml version="1.0" encoding="utf-8"?>
<sst xmlns="http://schemas.openxmlformats.org/spreadsheetml/2006/main" count="1228" uniqueCount="315">
  <si>
    <t>Basic shares outstanding</t>
  </si>
  <si>
    <t xml:space="preserve">Diluted shares outstanding </t>
  </si>
  <si>
    <t>Effective tax rate</t>
  </si>
  <si>
    <t>(Dollars in millions, except per share data)</t>
  </si>
  <si>
    <t>Operating margin (GAAP)</t>
  </si>
  <si>
    <t>Provisions for income tax</t>
  </si>
  <si>
    <t xml:space="preserve">Basic EPS </t>
  </si>
  <si>
    <t xml:space="preserve">Diluted EPS </t>
  </si>
  <si>
    <t>Total operating expenses</t>
  </si>
  <si>
    <t>Ratio Analysis</t>
  </si>
  <si>
    <t>Total operating income/(loss)</t>
  </si>
  <si>
    <t>Income/(loss) before income tax</t>
  </si>
  <si>
    <t>Non-GAAP Adjustments</t>
  </si>
  <si>
    <t>Segment Data</t>
  </si>
  <si>
    <t>Reconciliation</t>
  </si>
  <si>
    <t>Dec-18</t>
  </si>
  <si>
    <t xml:space="preserve">   Net income attributable to common shareholders</t>
  </si>
  <si>
    <t>Revenue growth rate (GAAP, YoY)</t>
  </si>
  <si>
    <t>Starbucks Income Statement</t>
  </si>
  <si>
    <t>F1Q19</t>
  </si>
  <si>
    <t>Sept-22E</t>
  </si>
  <si>
    <t>Dec-22E</t>
  </si>
  <si>
    <t>Mar-23E</t>
  </si>
  <si>
    <t>June-23E</t>
  </si>
  <si>
    <t>Sept-23E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</si>
  <si>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</si>
  <si>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</si>
  <si>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</si>
  <si>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</si>
  <si>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</si>
  <si>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</si>
  <si>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</si>
  <si>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</si>
  <si>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</si>
  <si>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</si>
  <si>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</si>
  <si>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</si>
  <si>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</si>
  <si>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</si>
  <si>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</si>
  <si>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</si>
  <si>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</si>
  <si>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Restructuring and impairments</t>
  </si>
  <si>
    <t>Comp store sales - Ticket</t>
  </si>
  <si>
    <t>Comp store sales - Transaction</t>
  </si>
  <si>
    <t>Comp store sales - Total</t>
  </si>
  <si>
    <t xml:space="preserve">Net new company operated stores added </t>
  </si>
  <si>
    <t xml:space="preserve">Net new licensed  stores added </t>
  </si>
  <si>
    <t>Average revenue per licensed store</t>
  </si>
  <si>
    <t>Average licensed stores in the period</t>
  </si>
  <si>
    <t>Other revenue YoY growth rate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</si>
  <si>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</si>
  <si>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</si>
  <si>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</si>
  <si>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</si>
  <si>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</si>
  <si>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</si>
  <si>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</si>
  <si>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</si>
  <si>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</si>
  <si>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</si>
  <si>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</si>
  <si>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</si>
  <si>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</si>
  <si>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</si>
  <si>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</si>
  <si>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</si>
  <si>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</si>
  <si>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</si>
  <si>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</si>
  <si>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</si>
  <si>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</si>
  <si>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</si>
  <si>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</si>
  <si>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</si>
  <si>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</si>
  <si>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</si>
  <si>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Operating margin (Non-GAAP)</t>
  </si>
  <si>
    <t>Interest &amp; other income as a % of average  investments and cash</t>
  </si>
  <si>
    <t>Interest expense as a % of average debt balances</t>
  </si>
  <si>
    <t>All Other  (Operating expense)</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</si>
  <si>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</si>
  <si>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</si>
  <si>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</si>
  <si>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</si>
  <si>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</si>
  <si>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</si>
  <si>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</si>
  <si>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</si>
  <si>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</si>
  <si>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</si>
  <si>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</si>
  <si>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</si>
  <si>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</si>
  <si>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</si>
  <si>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</si>
  <si>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</si>
  <si>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</si>
  <si>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</si>
  <si>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</si>
  <si>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</si>
  <si>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</si>
  <si>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</si>
  <si>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</si>
  <si>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</si>
  <si>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</si>
  <si>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</si>
  <si>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</si>
  <si>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</si>
  <si>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</si>
  <si>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</si>
  <si>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</si>
  <si>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</si>
  <si>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</si>
  <si>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</si>
  <si>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</si>
  <si>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</si>
  <si>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</si>
  <si>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</si>
  <si>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</si>
  <si>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</si>
  <si>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</si>
  <si>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</si>
  <si>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</si>
  <si>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</si>
  <si>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</si>
  <si>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</si>
  <si>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</si>
  <si>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</si>
  <si>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</si>
  <si>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</si>
  <si>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</si>
  <si>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</si>
  <si>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</si>
  <si>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</si>
  <si>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</si>
  <si>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</si>
  <si>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</si>
  <si>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</si>
  <si>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Non-GAAP EPS Growth (YoY)</t>
  </si>
  <si>
    <t>Cash Flow From Operations Growth (YoY)</t>
  </si>
  <si>
    <t>Free Cash Flow Growth (YoY)</t>
  </si>
  <si>
    <t>Sept-20</t>
  </si>
  <si>
    <t>F4Q20</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</si>
  <si>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</si>
  <si>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</si>
  <si>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</si>
  <si>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</si>
  <si>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</si>
  <si>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</si>
  <si>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</si>
  <si>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</si>
  <si>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</si>
  <si>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</si>
  <si>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</si>
  <si>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</si>
  <si>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</si>
  <si>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</si>
  <si>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</si>
  <si>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</si>
  <si>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</si>
  <si>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Dec-25E</t>
  </si>
  <si>
    <t>Mar-26E</t>
  </si>
  <si>
    <t>June-26E</t>
  </si>
  <si>
    <t>Sept-26E</t>
  </si>
  <si>
    <t>F1Q26E</t>
  </si>
  <si>
    <t>F2Q26E</t>
  </si>
  <si>
    <t>F3Q26E</t>
  </si>
  <si>
    <t>F4Q26E</t>
  </si>
  <si>
    <t>FY 2026E</t>
  </si>
  <si>
    <t>Global Store Growth</t>
  </si>
  <si>
    <t>Approximate Dividend Payout Ratio</t>
  </si>
  <si>
    <t>Sept-21</t>
  </si>
  <si>
    <t>F4Q21</t>
  </si>
  <si>
    <t>FY 2021</t>
  </si>
  <si>
    <t>North America (GAAP)</t>
  </si>
  <si>
    <t>NA company-operated stores</t>
  </si>
  <si>
    <t>NA Revenue: Company-operated stores ($M)</t>
  </si>
  <si>
    <t>NA licensed stores</t>
  </si>
  <si>
    <t>NA Revenue: licensed stores ($M)</t>
  </si>
  <si>
    <t>NA Revenue: Other</t>
  </si>
  <si>
    <t>NA total stores</t>
  </si>
  <si>
    <t>NA total net store additions</t>
  </si>
  <si>
    <t>NA total net revenues ($M)</t>
  </si>
  <si>
    <t>NA total operating expenses</t>
  </si>
  <si>
    <t>NA total operating income</t>
  </si>
  <si>
    <t>NA total operating margin (%)</t>
  </si>
  <si>
    <t>GAAP EPS Growth (YoY)</t>
  </si>
  <si>
    <t>Jan-22</t>
  </si>
  <si>
    <t>F1Q22</t>
  </si>
  <si>
    <t>F2Q22</t>
  </si>
  <si>
    <t>Mar-22</t>
  </si>
  <si>
    <t>Dec-26E</t>
  </si>
  <si>
    <t>Mar-27E</t>
  </si>
  <si>
    <t>June-27E</t>
  </si>
  <si>
    <t>Sept-27E</t>
  </si>
  <si>
    <t>F1Q27E</t>
  </si>
  <si>
    <t>F2Q27E</t>
  </si>
  <si>
    <t>F3Q27E</t>
  </si>
  <si>
    <t>F4Q27E</t>
  </si>
  <si>
    <t>FY 2027E</t>
  </si>
  <si>
    <t>Revenue growth rate (YoY)</t>
  </si>
  <si>
    <t>Average company operated stores in the period</t>
  </si>
  <si>
    <t>Average revenue per average licensed store</t>
  </si>
  <si>
    <t>June-22</t>
  </si>
  <si>
    <t>F3Q22</t>
  </si>
  <si>
    <t>Average revenue per average company operated store</t>
  </si>
  <si>
    <t xml:space="preserve">Average revenue per average company operated store </t>
  </si>
  <si>
    <t>Shares repurchased: Share count (in millions of shares, exASRs)</t>
  </si>
  <si>
    <t>Change in basic shares  (excluding repurchases)</t>
  </si>
  <si>
    <t>Change in diluted shares  (excluding repurchases)</t>
  </si>
  <si>
    <t>Note: Blue cells = primary inputs. Purple cells = guidance.</t>
  </si>
  <si>
    <t>Starbucks Balance Sheet</t>
  </si>
  <si>
    <t>Assets</t>
  </si>
  <si>
    <t>Cash and equivalents</t>
  </si>
  <si>
    <t>Short-term investments</t>
  </si>
  <si>
    <t>Accounts receivable, net</t>
  </si>
  <si>
    <t>Inventories</t>
  </si>
  <si>
    <t>Prepaid expenses and other current assets</t>
  </si>
  <si>
    <t>Total Current Assets</t>
  </si>
  <si>
    <t>Long-term investments</t>
  </si>
  <si>
    <t>Equity investments</t>
  </si>
  <si>
    <t xml:space="preserve">Property, plant and equipment, net </t>
  </si>
  <si>
    <t>Operating lease, right-of-use asset</t>
  </si>
  <si>
    <t>Deferred income taxes, net</t>
  </si>
  <si>
    <t>Other long-term assets</t>
  </si>
  <si>
    <t>Other intangible assets, net</t>
  </si>
  <si>
    <t>Goodwill</t>
  </si>
  <si>
    <t>Total Assets</t>
  </si>
  <si>
    <t>Liabilities</t>
  </si>
  <si>
    <t>Accounts payable</t>
  </si>
  <si>
    <t>Accrued liabilities</t>
  </si>
  <si>
    <t>Accrued payroll and benefits (current)</t>
  </si>
  <si>
    <t>Income taxes payable (current)</t>
  </si>
  <si>
    <t xml:space="preserve">Current portion of operating lease liability </t>
  </si>
  <si>
    <t>Stored value card liability and deferred revenue</t>
  </si>
  <si>
    <t>Current portion of debt</t>
  </si>
  <si>
    <t>Other current liabilities</t>
  </si>
  <si>
    <t>Total Current liabilities</t>
  </si>
  <si>
    <t>Long-term debt</t>
  </si>
  <si>
    <t>Operating lease liability</t>
  </si>
  <si>
    <t>Deferred revenue</t>
  </si>
  <si>
    <t>Other long-term liabilities</t>
  </si>
  <si>
    <t>Total liabilities</t>
  </si>
  <si>
    <t>Equity</t>
  </si>
  <si>
    <t>Common stock and additional paid in capital</t>
  </si>
  <si>
    <t xml:space="preserve">Retained earnings </t>
  </si>
  <si>
    <t>Accumulated other comprehensive loss</t>
  </si>
  <si>
    <t>Noncontrolling interest</t>
  </si>
  <si>
    <t>Total shareholders' equity</t>
  </si>
  <si>
    <t>Total liabilities and equity</t>
  </si>
  <si>
    <t>Balance Sheet Ratios &amp; Assumptions</t>
  </si>
  <si>
    <t>Day Count (number of days in the quarter)</t>
  </si>
  <si>
    <t>Receivables turnover</t>
  </si>
  <si>
    <t>Days sales outstanding</t>
  </si>
  <si>
    <t>Inventory turnover</t>
  </si>
  <si>
    <t>Payables turnover</t>
  </si>
  <si>
    <t>Number of days of payables</t>
  </si>
  <si>
    <t>Total investments as a % of assets</t>
  </si>
  <si>
    <t>Short-term investments as a % of total investments</t>
  </si>
  <si>
    <t>Deferred inc taxes as % of def revenue &amp; stored value liability</t>
  </si>
  <si>
    <t>Depreciation &amp; amortization-to-average P&amp;E</t>
  </si>
  <si>
    <t>Debt Assumptions</t>
  </si>
  <si>
    <t>Debt maturities</t>
  </si>
  <si>
    <t>Debt moved from Long to Current</t>
  </si>
  <si>
    <t>Debt issuance</t>
  </si>
  <si>
    <t>Debt-to-equity ratio</t>
  </si>
  <si>
    <t>Short-term debt to total debt</t>
  </si>
  <si>
    <t>Debt-to-EBITDA Analysis</t>
  </si>
  <si>
    <t>Starbucks Cash Flow Statement</t>
  </si>
  <si>
    <t>Cash flows from operating activities</t>
  </si>
  <si>
    <t>Net income - including noncontrolling interests</t>
  </si>
  <si>
    <t xml:space="preserve">Depreciation and amortization </t>
  </si>
  <si>
    <t>Income earned from equity method investees</t>
  </si>
  <si>
    <t>Distributions received from equity method investees</t>
  </si>
  <si>
    <t>Gain resulting from acquisitions/sales</t>
  </si>
  <si>
    <t>Stock-based compensation expense</t>
  </si>
  <si>
    <t>Other Noncash Income/(Expense)</t>
  </si>
  <si>
    <t>Changes in operating assets and liabilities, net of the effects</t>
  </si>
  <si>
    <t>Accounts receivable</t>
  </si>
  <si>
    <t>Increase/(Decrease) in prepaid expenses, other current</t>
  </si>
  <si>
    <t>Increase/(Decrease) in Income Taxes Payable</t>
  </si>
  <si>
    <t>Other operating assets and liabilities</t>
  </si>
  <si>
    <t>Net cash provided by operating activities</t>
  </si>
  <si>
    <t>Cash flows from investing activities</t>
  </si>
  <si>
    <t>Sale/Maturities/(Purchases) of investments</t>
  </si>
  <si>
    <t>Additions to PP&amp;E</t>
  </si>
  <si>
    <t>Other investing activities</t>
  </si>
  <si>
    <t>Net cash provided by (used for) investing</t>
  </si>
  <si>
    <t>Cash flows from financing activities</t>
  </si>
  <si>
    <t xml:space="preserve">Debt/commercial paper (payments) </t>
  </si>
  <si>
    <t>Proceeds from issuance of commercial paper</t>
  </si>
  <si>
    <t>Proceeds from issuance of common stock</t>
  </si>
  <si>
    <t>Cash dividends paid</t>
  </si>
  <si>
    <t>Repurchase of common stock</t>
  </si>
  <si>
    <t>Minimum tax withholdings on share-based awards</t>
  </si>
  <si>
    <t>Other financing activities</t>
  </si>
  <si>
    <t>Net cash provided by (used for) financing</t>
  </si>
  <si>
    <t>Effect of exchange rate changes &amp; restricted cash</t>
  </si>
  <si>
    <t>Net increase (decrease) in cash and equivalents</t>
  </si>
  <si>
    <t>Cash and equivalents at beginning of period</t>
  </si>
  <si>
    <t>Cash and equivalents at end of period (BS)</t>
  </si>
  <si>
    <t>Free Cash Flow to Firm (FCFF)</t>
  </si>
  <si>
    <t>DCF Period (approximate number of years)</t>
  </si>
  <si>
    <t>Discounted FCFF</t>
  </si>
  <si>
    <t xml:space="preserve">Net Cash and investments per share </t>
  </si>
  <si>
    <t>Cash &amp; marketable securities (exEquity method investments)</t>
  </si>
  <si>
    <t>Total Debt</t>
  </si>
  <si>
    <t xml:space="preserve">Adjusted net cash  per share </t>
  </si>
  <si>
    <t>Cash Flow Ratios &amp; Assumptions</t>
  </si>
  <si>
    <t>Cash Flow Statement Ratios</t>
  </si>
  <si>
    <t>Share-based compensation to revenue</t>
  </si>
  <si>
    <t xml:space="preserve">Distributions from equity investments as a % of income </t>
  </si>
  <si>
    <t>Net Cash from Operations growth rate (YoY)</t>
  </si>
  <si>
    <t>Capex to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</si>
</sst>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 numFmtId="227" formatCode="0.0\x"/>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i/>
      <sz val="8"/>
      <color theme="3"/>
      <name val="Calibri"/>
      <family val="2"/>
      <scheme val="minor"/>
    </font>
    <font>
      <b/>
      <u/>
      <sz val="11"/>
      <color rgb="FFFF0000"/>
      <name val="Calibri"/>
      <family val="2"/>
      <scheme val="minor"/>
    </font>
    <font>
      <i/>
      <u/>
      <sz val="11"/>
      <name val="Calibri"/>
      <family val="2"/>
      <scheme val="minor"/>
    </font>
    <font>
      <b/>
      <u val="singleAccounting"/>
      <sz val="11"/>
      <color rgb="FFFF0000"/>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tint="-4.9989318521683403E-2"/>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3" fillId="6" borderId="34">
      <alignment horizontal="center" vertical="center" wrapText="1"/>
    </xf>
    <xf numFmtId="196" fontId="27" fillId="0" borderId="34">
      <protection hidden="1"/>
    </xf>
    <xf numFmtId="196" fontId="27" fillId="0" borderId="34">
      <protection hidden="1"/>
    </xf>
    <xf numFmtId="37" fontId="48" fillId="0" borderId="34">
      <alignment horizontal="right"/>
      <protection locked="0"/>
    </xf>
    <xf numFmtId="37" fontId="49" fillId="0" borderId="34">
      <alignment horizontal="right"/>
      <protection locked="0"/>
    </xf>
  </cellStyleXfs>
  <cellXfs count="445">
    <xf numFmtId="0" fontId="0" fillId="0" borderId="0" xfId="0"/>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3" fillId="0" borderId="0" xfId="0" applyFont="1"/>
    <xf numFmtId="9" fontId="4" fillId="0" borderId="5" xfId="2" applyFont="1" applyBorder="1" applyAlignment="1">
      <alignment horizontal="right"/>
    </xf>
    <xf numFmtId="164" fontId="53" fillId="0" borderId="0" xfId="1" quotePrefix="1" applyNumberFormat="1" applyFont="1" applyAlignment="1">
      <alignment horizontal="right"/>
    </xf>
    <xf numFmtId="43" fontId="53" fillId="0" borderId="0" xfId="1" quotePrefix="1" applyFont="1" applyAlignment="1">
      <alignment horizontal="right"/>
    </xf>
    <xf numFmtId="164" fontId="52" fillId="3" borderId="0" xfId="1" quotePrefix="1" applyNumberFormat="1" applyFont="1" applyFill="1" applyAlignment="1">
      <alignment horizontal="right"/>
    </xf>
    <xf numFmtId="164" fontId="54" fillId="2" borderId="2" xfId="1" quotePrefix="1" applyNumberFormat="1" applyFont="1" applyFill="1" applyBorder="1" applyAlignment="1">
      <alignment horizontal="right"/>
    </xf>
    <xf numFmtId="164" fontId="55"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8" fillId="0" borderId="0" xfId="1" applyNumberFormat="1" applyFont="1" applyAlignment="1">
      <alignment horizontal="right"/>
    </xf>
    <xf numFmtId="165" fontId="58" fillId="0" borderId="5" xfId="1" applyNumberFormat="1" applyFont="1" applyBorder="1" applyAlignment="1">
      <alignment horizontal="right"/>
    </xf>
    <xf numFmtId="0" fontId="4" fillId="0" borderId="4" xfId="0" applyFont="1" applyBorder="1"/>
    <xf numFmtId="0" fontId="59" fillId="0" borderId="4" xfId="0" applyFont="1" applyBorder="1"/>
    <xf numFmtId="0" fontId="59" fillId="0" borderId="0" xfId="0" applyFont="1"/>
    <xf numFmtId="165" fontId="59" fillId="0" borderId="0" xfId="1" applyNumberFormat="1" applyFont="1" applyAlignment="1">
      <alignment horizontal="right"/>
    </xf>
    <xf numFmtId="165" fontId="59" fillId="0" borderId="5" xfId="1" applyNumberFormat="1" applyFont="1" applyBorder="1" applyAlignment="1">
      <alignment horizontal="right"/>
    </xf>
    <xf numFmtId="0" fontId="58" fillId="0" borderId="0" xfId="0" applyFont="1"/>
    <xf numFmtId="43" fontId="59" fillId="0" borderId="0" xfId="1" applyFont="1" applyAlignment="1">
      <alignment horizontal="right"/>
    </xf>
    <xf numFmtId="43" fontId="59" fillId="0" borderId="5" xfId="1" applyFont="1" applyBorder="1" applyAlignment="1">
      <alignment horizontal="right"/>
    </xf>
    <xf numFmtId="165" fontId="58" fillId="0" borderId="5" xfId="1" quotePrefix="1" applyNumberFormat="1" applyFont="1" applyBorder="1" applyAlignment="1">
      <alignment horizontal="right"/>
    </xf>
    <xf numFmtId="166" fontId="58" fillId="0" borderId="0" xfId="2" applyNumberFormat="1" applyFont="1" applyAlignment="1">
      <alignment horizontal="right"/>
    </xf>
    <xf numFmtId="9" fontId="58" fillId="0" borderId="5" xfId="2" applyFont="1" applyBorder="1" applyAlignment="1">
      <alignment horizontal="right"/>
    </xf>
    <xf numFmtId="166" fontId="58" fillId="0" borderId="5" xfId="2" applyNumberFormat="1" applyFont="1" applyBorder="1" applyAlignment="1">
      <alignment horizontal="right"/>
    </xf>
    <xf numFmtId="9" fontId="58" fillId="0" borderId="0" xfId="2" applyFont="1" applyAlignment="1">
      <alignment horizontal="right"/>
    </xf>
    <xf numFmtId="164" fontId="58" fillId="0" borderId="5" xfId="1" quotePrefix="1" applyNumberFormat="1" applyFont="1" applyBorder="1" applyAlignment="1">
      <alignment horizontal="right"/>
    </xf>
    <xf numFmtId="165" fontId="60" fillId="9" borderId="0" xfId="1" applyNumberFormat="1" applyFont="1" applyFill="1" applyAlignment="1">
      <alignment horizontal="right"/>
    </xf>
    <xf numFmtId="165" fontId="58" fillId="9" borderId="0" xfId="1" applyNumberFormat="1" applyFont="1" applyFill="1" applyAlignment="1">
      <alignment horizontal="right"/>
    </xf>
    <xf numFmtId="9" fontId="58" fillId="9" borderId="0" xfId="2" applyFont="1" applyFill="1" applyAlignment="1">
      <alignment horizontal="right"/>
    </xf>
    <xf numFmtId="166" fontId="58" fillId="9" borderId="0" xfId="2" applyNumberFormat="1" applyFont="1" applyFill="1" applyAlignment="1">
      <alignment horizontal="right"/>
    </xf>
    <xf numFmtId="7" fontId="58" fillId="0" borderId="0" xfId="1" applyNumberFormat="1" applyFont="1" applyAlignment="1">
      <alignment horizontal="right"/>
    </xf>
    <xf numFmtId="165" fontId="58" fillId="0" borderId="8" xfId="1" applyNumberFormat="1" applyFont="1" applyBorder="1" applyAlignment="1">
      <alignment horizontal="right"/>
    </xf>
    <xf numFmtId="0" fontId="58" fillId="0" borderId="3" xfId="0" applyFont="1" applyBorder="1" applyAlignment="1">
      <alignment horizontal="left" indent="2"/>
    </xf>
    <xf numFmtId="164" fontId="54" fillId="2" borderId="29" xfId="1" quotePrefix="1" applyNumberFormat="1" applyFont="1" applyFill="1" applyBorder="1" applyAlignment="1">
      <alignment horizontal="right"/>
    </xf>
    <xf numFmtId="164" fontId="55" fillId="2" borderId="5" xfId="1" quotePrefix="1" applyNumberFormat="1" applyFont="1" applyFill="1" applyBorder="1" applyAlignment="1">
      <alignment horizontal="right"/>
    </xf>
    <xf numFmtId="164" fontId="2" fillId="3" borderId="29"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7" fontId="58" fillId="0" borderId="0" xfId="1" applyNumberFormat="1" applyFont="1" applyAlignment="1">
      <alignment horizontal="right"/>
    </xf>
    <xf numFmtId="0" fontId="58" fillId="0" borderId="4" xfId="0" applyFont="1" applyBorder="1"/>
    <xf numFmtId="9" fontId="4" fillId="0" borderId="0" xfId="1" applyNumberFormat="1" applyFont="1"/>
    <xf numFmtId="0" fontId="59" fillId="0" borderId="3" xfId="0" applyFont="1" applyBorder="1" applyAlignment="1">
      <alignment horizontal="left" indent="4"/>
    </xf>
    <xf numFmtId="0" fontId="58" fillId="0" borderId="3" xfId="0" applyFont="1" applyBorder="1" applyAlignment="1">
      <alignment horizontal="left" indent="5"/>
    </xf>
    <xf numFmtId="164" fontId="58" fillId="0" borderId="0" xfId="1" applyNumberFormat="1" applyFont="1" applyAlignment="1">
      <alignment horizontal="right"/>
    </xf>
    <xf numFmtId="164" fontId="58" fillId="0" borderId="5" xfId="1" applyNumberFormat="1" applyFont="1" applyBorder="1" applyAlignment="1">
      <alignment horizontal="right"/>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52" fillId="0" borderId="0" xfId="1" applyNumberFormat="1" applyFont="1" applyAlignment="1">
      <alignment horizontal="right"/>
    </xf>
    <xf numFmtId="164" fontId="52" fillId="0" borderId="5" xfId="1" applyNumberFormat="1" applyFont="1" applyBorder="1" applyAlignment="1">
      <alignment horizontal="right"/>
    </xf>
    <xf numFmtId="164" fontId="60" fillId="9" borderId="0" xfId="1" applyNumberFormat="1" applyFont="1" applyFill="1" applyAlignment="1">
      <alignment horizontal="right"/>
    </xf>
    <xf numFmtId="165" fontId="53" fillId="0" borderId="5" xfId="1" quotePrefix="1" applyNumberFormat="1" applyFont="1" applyBorder="1" applyAlignment="1">
      <alignment horizontal="right"/>
    </xf>
    <xf numFmtId="165" fontId="4" fillId="0" borderId="25" xfId="1" quotePrefix="1" applyNumberFormat="1" applyFont="1" applyBorder="1" applyAlignment="1">
      <alignment horizontal="right"/>
    </xf>
    <xf numFmtId="9" fontId="62" fillId="0" borderId="0" xfId="2" applyFont="1" applyAlignment="1">
      <alignment horizontal="right"/>
    </xf>
    <xf numFmtId="9" fontId="62" fillId="0" borderId="5" xfId="2" applyFont="1" applyBorder="1" applyAlignment="1">
      <alignment horizontal="right"/>
    </xf>
    <xf numFmtId="9" fontId="59" fillId="0" borderId="5" xfId="2" applyFont="1" applyBorder="1" applyAlignment="1">
      <alignment horizontal="right"/>
    </xf>
    <xf numFmtId="167" fontId="58" fillId="9" borderId="0" xfId="1" applyNumberFormat="1" applyFont="1" applyFill="1" applyAlignment="1">
      <alignment horizontal="right"/>
    </xf>
    <xf numFmtId="0" fontId="63" fillId="0" borderId="0" xfId="0" applyFont="1"/>
    <xf numFmtId="0" fontId="63" fillId="0" borderId="3" xfId="0" applyFont="1" applyBorder="1" applyAlignment="1">
      <alignment horizontal="left"/>
    </xf>
    <xf numFmtId="165" fontId="63" fillId="0" borderId="0" xfId="1" applyNumberFormat="1" applyFont="1" applyAlignment="1">
      <alignment horizontal="right"/>
    </xf>
    <xf numFmtId="165" fontId="63" fillId="0" borderId="5" xfId="1" quotePrefix="1" applyNumberFormat="1" applyFont="1" applyBorder="1" applyAlignment="1">
      <alignment horizontal="right"/>
    </xf>
    <xf numFmtId="165" fontId="59" fillId="0" borderId="27" xfId="1" applyNumberFormat="1" applyFont="1" applyBorder="1" applyAlignment="1">
      <alignment horizontal="right"/>
    </xf>
    <xf numFmtId="165" fontId="53" fillId="0" borderId="28" xfId="1" quotePrefix="1" applyNumberFormat="1" applyFont="1" applyBorder="1" applyAlignment="1">
      <alignment horizontal="right"/>
    </xf>
    <xf numFmtId="0" fontId="58" fillId="0" borderId="12" xfId="0" applyFont="1" applyBorder="1" applyAlignment="1">
      <alignment horizontal="left" indent="2"/>
    </xf>
    <xf numFmtId="0" fontId="58" fillId="0" borderId="13" xfId="0" applyFont="1" applyBorder="1" applyAlignment="1">
      <alignment horizontal="left" indent="1"/>
    </xf>
    <xf numFmtId="9" fontId="58" fillId="9" borderId="26" xfId="2" applyFont="1" applyFill="1" applyBorder="1" applyAlignment="1">
      <alignment horizontal="right"/>
    </xf>
    <xf numFmtId="164" fontId="59" fillId="0" borderId="26" xfId="1" applyNumberFormat="1" applyFont="1" applyBorder="1" applyAlignment="1">
      <alignment horizontal="right"/>
    </xf>
    <xf numFmtId="164" fontId="59" fillId="0" borderId="25" xfId="1" quotePrefix="1" applyNumberFormat="1" applyFont="1" applyBorder="1" applyAlignment="1">
      <alignment horizontal="right"/>
    </xf>
    <xf numFmtId="164" fontId="59" fillId="0" borderId="0" xfId="2" applyNumberFormat="1" applyFont="1" applyAlignment="1">
      <alignment horizontal="right"/>
    </xf>
    <xf numFmtId="166" fontId="59" fillId="0" borderId="0" xfId="2" applyNumberFormat="1" applyFont="1" applyAlignment="1">
      <alignment horizontal="right"/>
    </xf>
    <xf numFmtId="164" fontId="58" fillId="0" borderId="28" xfId="1" applyNumberFormat="1" applyFont="1" applyBorder="1" applyAlignment="1">
      <alignment horizontal="right"/>
    </xf>
    <xf numFmtId="0" fontId="65" fillId="0" borderId="0" xfId="0" applyFont="1"/>
    <xf numFmtId="0" fontId="66" fillId="0" borderId="4" xfId="0" applyFont="1" applyBorder="1" applyAlignment="1">
      <alignment horizontal="left"/>
    </xf>
    <xf numFmtId="0" fontId="64" fillId="0" borderId="13" xfId="0" applyFont="1" applyBorder="1"/>
    <xf numFmtId="164" fontId="64" fillId="0" borderId="26" xfId="1" applyNumberFormat="1" applyFont="1" applyBorder="1" applyAlignment="1">
      <alignment horizontal="right"/>
    </xf>
    <xf numFmtId="164" fontId="64" fillId="0" borderId="25" xfId="1" applyNumberFormat="1" applyFont="1" applyBorder="1" applyAlignment="1">
      <alignment horizontal="right"/>
    </xf>
    <xf numFmtId="43" fontId="64" fillId="0" borderId="32" xfId="1" applyFont="1" applyBorder="1" applyAlignment="1">
      <alignment horizontal="right"/>
    </xf>
    <xf numFmtId="43" fontId="64" fillId="0" borderId="30" xfId="1" applyFont="1" applyBorder="1" applyAlignment="1">
      <alignment horizontal="right"/>
    </xf>
    <xf numFmtId="0" fontId="64" fillId="0" borderId="24" xfId="0" applyFont="1" applyBorder="1" applyAlignment="1">
      <alignment horizontal="left"/>
    </xf>
    <xf numFmtId="0" fontId="64" fillId="0" borderId="12" xfId="0" applyFont="1" applyBorder="1" applyAlignment="1">
      <alignment horizontal="left" indent="2"/>
    </xf>
    <xf numFmtId="0" fontId="64" fillId="0" borderId="13" xfId="0" applyFont="1" applyBorder="1" applyAlignment="1">
      <alignment horizontal="left"/>
    </xf>
    <xf numFmtId="0" fontId="63" fillId="0" borderId="23" xfId="0" applyFont="1" applyBorder="1" applyAlignment="1">
      <alignment horizontal="left" indent="1"/>
    </xf>
    <xf numFmtId="0" fontId="63" fillId="0" borderId="24" xfId="0" applyFont="1" applyBorder="1"/>
    <xf numFmtId="164" fontId="67" fillId="0" borderId="27" xfId="1" applyNumberFormat="1" applyFont="1" applyBorder="1" applyAlignment="1">
      <alignment horizontal="right"/>
    </xf>
    <xf numFmtId="164" fontId="67" fillId="0" borderId="28" xfId="1" applyNumberFormat="1" applyFont="1" applyBorder="1" applyAlignment="1">
      <alignment horizontal="right"/>
    </xf>
    <xf numFmtId="164" fontId="68" fillId="0" borderId="27" xfId="1" applyNumberFormat="1" applyFont="1" applyBorder="1" applyAlignment="1">
      <alignment horizontal="right"/>
    </xf>
    <xf numFmtId="164" fontId="68" fillId="0" borderId="28" xfId="1" applyNumberFormat="1" applyFont="1" applyBorder="1" applyAlignment="1">
      <alignment horizontal="right"/>
    </xf>
    <xf numFmtId="0" fontId="64" fillId="0" borderId="31" xfId="0" applyFont="1" applyBorder="1" applyAlignment="1">
      <alignment horizontal="left" indent="2"/>
    </xf>
    <xf numFmtId="9" fontId="58" fillId="9" borderId="7" xfId="2" applyFont="1" applyFill="1" applyBorder="1" applyAlignment="1">
      <alignment horizontal="right"/>
    </xf>
    <xf numFmtId="164" fontId="58" fillId="9" borderId="0" xfId="1" applyNumberFormat="1" applyFont="1" applyFill="1" applyAlignment="1">
      <alignment horizontal="right"/>
    </xf>
    <xf numFmtId="164" fontId="58" fillId="0" borderId="27" xfId="1" applyNumberFormat="1" applyFont="1" applyBorder="1" applyAlignment="1">
      <alignment horizontal="right"/>
    </xf>
    <xf numFmtId="164" fontId="59" fillId="0" borderId="5" xfId="1" quotePrefix="1" applyNumberFormat="1" applyFont="1" applyBorder="1" applyAlignment="1">
      <alignment horizontal="right"/>
    </xf>
    <xf numFmtId="166" fontId="59" fillId="0" borderId="5" xfId="2" quotePrefix="1" applyNumberFormat="1" applyFont="1" applyBorder="1" applyAlignment="1">
      <alignment horizontal="right"/>
    </xf>
    <xf numFmtId="0" fontId="69" fillId="0" borderId="0" xfId="0" applyFont="1"/>
    <xf numFmtId="0" fontId="64" fillId="0" borderId="33" xfId="0" applyFont="1" applyBorder="1" applyAlignment="1">
      <alignment horizontal="left" indent="1"/>
    </xf>
    <xf numFmtId="165" fontId="58" fillId="0" borderId="0" xfId="1" applyNumberFormat="1" applyFont="1" applyFill="1" applyAlignment="1">
      <alignment horizontal="right"/>
    </xf>
    <xf numFmtId="43" fontId="58" fillId="0" borderId="0" xfId="1" applyFont="1" applyFill="1" applyAlignment="1">
      <alignment horizontal="right"/>
    </xf>
    <xf numFmtId="164" fontId="59" fillId="0" borderId="0" xfId="1" applyNumberFormat="1" applyFont="1" applyFill="1" applyAlignment="1">
      <alignment horizontal="right"/>
    </xf>
    <xf numFmtId="164" fontId="60" fillId="0" borderId="0" xfId="1" applyNumberFormat="1" applyFont="1" applyFill="1" applyAlignment="1">
      <alignment horizontal="right"/>
    </xf>
    <xf numFmtId="164" fontId="58" fillId="0" borderId="0" xfId="1" applyNumberFormat="1" applyFont="1" applyFill="1" applyAlignment="1">
      <alignment horizontal="right"/>
    </xf>
    <xf numFmtId="164" fontId="52" fillId="0" borderId="0" xfId="1" applyNumberFormat="1" applyFont="1" applyFill="1" applyAlignment="1">
      <alignment horizontal="right"/>
    </xf>
    <xf numFmtId="164" fontId="67" fillId="0" borderId="27" xfId="1" applyNumberFormat="1" applyFont="1" applyFill="1" applyBorder="1" applyAlignment="1">
      <alignment horizontal="right"/>
    </xf>
    <xf numFmtId="164" fontId="64" fillId="0" borderId="26" xfId="1" applyNumberFormat="1" applyFont="1" applyFill="1" applyBorder="1" applyAlignment="1">
      <alignment horizontal="right"/>
    </xf>
    <xf numFmtId="164" fontId="68" fillId="0" borderId="27" xfId="1" applyNumberFormat="1" applyFont="1" applyFill="1" applyBorder="1" applyAlignment="1">
      <alignment horizontal="right"/>
    </xf>
    <xf numFmtId="43" fontId="59" fillId="0" borderId="0" xfId="1" applyFont="1" applyFill="1" applyAlignment="1">
      <alignment horizontal="right"/>
    </xf>
    <xf numFmtId="43" fontId="64" fillId="0" borderId="32" xfId="1" applyFont="1" applyFill="1" applyBorder="1" applyAlignment="1">
      <alignment horizontal="right"/>
    </xf>
    <xf numFmtId="165" fontId="60" fillId="0" borderId="0" xfId="1" applyNumberFormat="1" applyFont="1" applyFill="1" applyAlignment="1">
      <alignment horizontal="right"/>
    </xf>
    <xf numFmtId="166" fontId="58" fillId="0" borderId="0" xfId="2" applyNumberFormat="1" applyFont="1" applyFill="1" applyAlignment="1">
      <alignment horizontal="right"/>
    </xf>
    <xf numFmtId="167" fontId="58" fillId="0" borderId="0" xfId="1" applyNumberFormat="1" applyFont="1" applyFill="1" applyAlignment="1">
      <alignment horizontal="right"/>
    </xf>
    <xf numFmtId="164" fontId="59" fillId="0" borderId="26" xfId="1" applyNumberFormat="1" applyFont="1" applyFill="1" applyBorder="1" applyAlignment="1">
      <alignment horizontal="right"/>
    </xf>
    <xf numFmtId="165" fontId="59" fillId="0" borderId="0" xfId="1" applyNumberFormat="1" applyFont="1" applyFill="1" applyAlignment="1">
      <alignment horizontal="right"/>
    </xf>
    <xf numFmtId="165" fontId="59" fillId="0" borderId="27" xfId="1" applyNumberFormat="1" applyFont="1" applyFill="1" applyBorder="1" applyAlignment="1">
      <alignment horizontal="right"/>
    </xf>
    <xf numFmtId="9" fontId="58" fillId="0" borderId="0" xfId="2" applyFont="1" applyFill="1" applyAlignment="1">
      <alignment horizontal="right"/>
    </xf>
    <xf numFmtId="164" fontId="60" fillId="0" borderId="0" xfId="2" applyNumberFormat="1" applyFont="1" applyFill="1" applyAlignment="1">
      <alignment horizontal="right"/>
    </xf>
    <xf numFmtId="9" fontId="58" fillId="0" borderId="26" xfId="2" applyFont="1" applyFill="1" applyBorder="1" applyAlignment="1">
      <alignment horizontal="right"/>
    </xf>
    <xf numFmtId="165" fontId="63" fillId="0" borderId="0" xfId="1" applyNumberFormat="1" applyFont="1" applyFill="1" applyAlignment="1">
      <alignment horizontal="right"/>
    </xf>
    <xf numFmtId="165" fontId="58" fillId="0" borderId="5" xfId="1" quotePrefix="1" applyNumberFormat="1" applyFont="1" applyFill="1" applyBorder="1" applyAlignment="1">
      <alignment horizontal="right"/>
    </xf>
    <xf numFmtId="164" fontId="60" fillId="9" borderId="0" xfId="2" applyNumberFormat="1" applyFont="1" applyFill="1" applyAlignment="1">
      <alignment horizontal="right"/>
    </xf>
    <xf numFmtId="0" fontId="63" fillId="0" borderId="23" xfId="0" applyFont="1" applyBorder="1" applyAlignment="1">
      <alignment horizontal="left" indent="5"/>
    </xf>
    <xf numFmtId="0" fontId="64" fillId="0" borderId="12" xfId="0" applyFont="1" applyBorder="1" applyAlignment="1">
      <alignment horizontal="left" indent="6"/>
    </xf>
    <xf numFmtId="166" fontId="58" fillId="0" borderId="5" xfId="2" quotePrefix="1" applyNumberFormat="1" applyFont="1" applyFill="1" applyBorder="1" applyAlignment="1">
      <alignment horizontal="right"/>
    </xf>
    <xf numFmtId="164" fontId="58" fillId="0" borderId="5" xfId="1" quotePrefix="1" applyNumberFormat="1" applyFont="1" applyFill="1" applyBorder="1" applyAlignment="1">
      <alignment horizontal="right"/>
    </xf>
    <xf numFmtId="43" fontId="58" fillId="0" borderId="5" xfId="1" quotePrefix="1" applyFont="1" applyFill="1" applyBorder="1" applyAlignment="1">
      <alignment horizontal="right"/>
    </xf>
    <xf numFmtId="9" fontId="58" fillId="0" borderId="5" xfId="2" applyFont="1" applyFill="1" applyBorder="1" applyAlignment="1">
      <alignment horizontal="right"/>
    </xf>
    <xf numFmtId="164" fontId="58" fillId="0" borderId="28"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0" fillId="0" borderId="5" xfId="2" applyNumberFormat="1" applyFont="1" applyFill="1" applyBorder="1" applyAlignment="1">
      <alignment horizontal="right"/>
    </xf>
    <xf numFmtId="164" fontId="59" fillId="0" borderId="5" xfId="1" quotePrefix="1" applyNumberFormat="1" applyFont="1" applyFill="1" applyBorder="1" applyAlignment="1">
      <alignment horizontal="right"/>
    </xf>
    <xf numFmtId="166" fontId="59" fillId="0" borderId="5" xfId="2" quotePrefix="1" applyNumberFormat="1" applyFont="1" applyFill="1" applyBorder="1" applyAlignment="1">
      <alignment horizontal="right"/>
    </xf>
    <xf numFmtId="9" fontId="59" fillId="0" borderId="5" xfId="2" applyFont="1" applyFill="1" applyBorder="1" applyAlignment="1">
      <alignment horizontal="right"/>
    </xf>
    <xf numFmtId="0" fontId="59" fillId="0" borderId="3" xfId="0" applyFont="1" applyBorder="1" applyAlignment="1">
      <alignment horizontal="left" indent="5"/>
    </xf>
    <xf numFmtId="0" fontId="53" fillId="0" borderId="4" xfId="0" applyFont="1" applyBorder="1"/>
    <xf numFmtId="166" fontId="58" fillId="0" borderId="5" xfId="2" applyNumberFormat="1" applyFont="1" applyFill="1" applyBorder="1" applyAlignment="1">
      <alignment horizontal="right"/>
    </xf>
    <xf numFmtId="43" fontId="60" fillId="0" borderId="0" xfId="1" applyFont="1" applyFill="1" applyAlignment="1">
      <alignment horizontal="right"/>
    </xf>
    <xf numFmtId="164" fontId="58" fillId="0" borderId="0" xfId="1" applyNumberFormat="1" applyFont="1" applyBorder="1" applyAlignment="1">
      <alignment horizontal="right"/>
    </xf>
    <xf numFmtId="164" fontId="58" fillId="0" borderId="26" xfId="1" applyNumberFormat="1" applyFont="1" applyBorder="1" applyAlignment="1">
      <alignment horizontal="right"/>
    </xf>
    <xf numFmtId="164" fontId="58" fillId="0" borderId="25" xfId="1" applyNumberFormat="1" applyFont="1" applyBorder="1" applyAlignment="1">
      <alignment horizontal="right"/>
    </xf>
    <xf numFmtId="164" fontId="58" fillId="0" borderId="0" xfId="1" applyNumberFormat="1" applyFont="1" applyFill="1" applyBorder="1" applyAlignment="1">
      <alignment horizontal="right"/>
    </xf>
    <xf numFmtId="7" fontId="58" fillId="0" borderId="23" xfId="1" applyNumberFormat="1" applyFont="1" applyBorder="1" applyAlignment="1">
      <alignment horizontal="right"/>
    </xf>
    <xf numFmtId="7" fontId="58" fillId="0" borderId="27" xfId="1" applyNumberFormat="1" applyFont="1" applyFill="1" applyBorder="1" applyAlignment="1">
      <alignment horizontal="right"/>
    </xf>
    <xf numFmtId="165" fontId="58" fillId="0" borderId="3" xfId="1" applyNumberFormat="1" applyFont="1" applyBorder="1" applyAlignment="1">
      <alignment horizontal="right"/>
    </xf>
    <xf numFmtId="165" fontId="58" fillId="0" borderId="0" xfId="1" applyNumberFormat="1" applyFont="1" applyFill="1" applyBorder="1" applyAlignment="1">
      <alignment horizontal="right"/>
    </xf>
    <xf numFmtId="164" fontId="58" fillId="0" borderId="12" xfId="1" applyNumberFormat="1" applyFont="1" applyBorder="1" applyAlignment="1">
      <alignment horizontal="right"/>
    </xf>
    <xf numFmtId="9" fontId="62" fillId="0" borderId="5" xfId="2" applyFont="1" applyFill="1" applyBorder="1" applyAlignment="1">
      <alignment horizontal="right"/>
    </xf>
    <xf numFmtId="166" fontId="4" fillId="0" borderId="0" xfId="1" applyNumberFormat="1" applyFont="1"/>
    <xf numFmtId="165" fontId="59" fillId="0" borderId="5" xfId="1" applyNumberFormat="1" applyFont="1" applyFill="1" applyBorder="1" applyAlignment="1">
      <alignment horizontal="right"/>
    </xf>
    <xf numFmtId="9" fontId="62" fillId="0" borderId="0" xfId="2" applyFont="1" applyFill="1" applyAlignment="1">
      <alignment horizontal="right"/>
    </xf>
    <xf numFmtId="9" fontId="59" fillId="0" borderId="0" xfId="2" applyFont="1" applyFill="1" applyAlignment="1">
      <alignment horizontal="right"/>
    </xf>
    <xf numFmtId="164" fontId="53" fillId="0" borderId="25" xfId="1" quotePrefix="1" applyNumberFormat="1" applyFont="1" applyFill="1" applyBorder="1" applyAlignment="1">
      <alignment horizontal="right"/>
    </xf>
    <xf numFmtId="165" fontId="53" fillId="0" borderId="5" xfId="1" quotePrefix="1" applyNumberFormat="1" applyFont="1" applyFill="1" applyBorder="1" applyAlignment="1">
      <alignment horizontal="right"/>
    </xf>
    <xf numFmtId="165" fontId="4" fillId="0" borderId="25" xfId="1" quotePrefix="1" applyNumberFormat="1" applyFont="1" applyFill="1" applyBorder="1" applyAlignment="1">
      <alignment horizontal="right"/>
    </xf>
    <xf numFmtId="164" fontId="59" fillId="0" borderId="0" xfId="2" applyNumberFormat="1" applyFont="1" applyFill="1" applyAlignment="1">
      <alignment horizontal="right"/>
    </xf>
    <xf numFmtId="166" fontId="59"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58" fillId="0" borderId="5" xfId="1" applyFont="1" applyFill="1" applyBorder="1" applyAlignment="1">
      <alignment horizontal="right"/>
    </xf>
    <xf numFmtId="43" fontId="60" fillId="0" borderId="5" xfId="1" applyFont="1" applyFill="1" applyBorder="1" applyAlignment="1">
      <alignment horizontal="right"/>
    </xf>
    <xf numFmtId="165" fontId="4" fillId="0" borderId="0" xfId="1" applyNumberFormat="1" applyFont="1" applyFill="1"/>
    <xf numFmtId="43" fontId="4" fillId="0" borderId="0" xfId="1" applyFont="1"/>
    <xf numFmtId="9" fontId="58" fillId="0" borderId="0" xfId="2" applyFont="1" applyFill="1" applyAlignment="1">
      <alignment horizontal="left"/>
    </xf>
    <xf numFmtId="164" fontId="4" fillId="0" borderId="0" xfId="1" applyNumberFormat="1" applyFont="1" applyFill="1" applyAlignment="1">
      <alignment horizontal="right"/>
    </xf>
    <xf numFmtId="10" fontId="58" fillId="0" borderId="5" xfId="2" applyNumberFormat="1" applyFont="1" applyBorder="1" applyAlignment="1">
      <alignment horizontal="right"/>
    </xf>
    <xf numFmtId="165" fontId="59" fillId="0" borderId="5" xfId="1" quotePrefix="1" applyNumberFormat="1" applyFont="1" applyFill="1" applyBorder="1" applyAlignment="1">
      <alignment horizontal="right"/>
    </xf>
    <xf numFmtId="166" fontId="71" fillId="0" borderId="0" xfId="2" applyNumberFormat="1" applyFont="1" applyFill="1" applyAlignment="1">
      <alignment horizontal="right"/>
    </xf>
    <xf numFmtId="166" fontId="58" fillId="0" borderId="25" xfId="2" quotePrefix="1" applyNumberFormat="1" applyFont="1" applyFill="1" applyBorder="1" applyAlignment="1">
      <alignment horizontal="right"/>
    </xf>
    <xf numFmtId="165" fontId="58" fillId="0" borderId="5" xfId="1" applyNumberFormat="1" applyFont="1" applyFill="1" applyBorder="1" applyAlignment="1">
      <alignment horizontal="right"/>
    </xf>
    <xf numFmtId="164" fontId="58" fillId="0" borderId="5" xfId="1" applyNumberFormat="1" applyFont="1" applyFill="1" applyBorder="1" applyAlignment="1">
      <alignment horizontal="right"/>
    </xf>
    <xf numFmtId="164" fontId="59" fillId="0" borderId="5" xfId="1" applyNumberFormat="1" applyFont="1" applyFill="1" applyBorder="1" applyAlignment="1">
      <alignment horizontal="right"/>
    </xf>
    <xf numFmtId="43" fontId="64" fillId="0" borderId="30" xfId="1" applyFont="1" applyFill="1" applyBorder="1" applyAlignment="1">
      <alignment horizontal="right"/>
    </xf>
    <xf numFmtId="164" fontId="60" fillId="0" borderId="5" xfId="1" applyNumberFormat="1" applyFont="1" applyFill="1" applyBorder="1" applyAlignment="1">
      <alignment horizontal="right"/>
    </xf>
    <xf numFmtId="43" fontId="59" fillId="0" borderId="5" xfId="1" applyFont="1" applyFill="1" applyBorder="1" applyAlignment="1">
      <alignment horizontal="right"/>
    </xf>
    <xf numFmtId="164" fontId="52" fillId="0" borderId="5" xfId="1" applyNumberFormat="1" applyFont="1" applyFill="1" applyBorder="1" applyAlignment="1">
      <alignment horizontal="right"/>
    </xf>
    <xf numFmtId="164" fontId="67" fillId="0" borderId="28" xfId="1" applyNumberFormat="1" applyFont="1" applyFill="1" applyBorder="1" applyAlignment="1">
      <alignment horizontal="right"/>
    </xf>
    <xf numFmtId="164" fontId="64" fillId="0" borderId="25" xfId="1" applyNumberFormat="1" applyFont="1" applyFill="1" applyBorder="1" applyAlignment="1">
      <alignment horizontal="right"/>
    </xf>
    <xf numFmtId="164" fontId="68" fillId="0" borderId="28" xfId="1" applyNumberFormat="1" applyFont="1" applyFill="1" applyBorder="1" applyAlignment="1">
      <alignment horizontal="right"/>
    </xf>
    <xf numFmtId="9" fontId="58" fillId="0" borderId="0" xfId="2" applyFont="1" applyBorder="1" applyAlignment="1">
      <alignment horizontal="right"/>
    </xf>
    <xf numFmtId="0" fontId="58" fillId="0" borderId="3" xfId="0" applyFont="1" applyBorder="1" applyAlignment="1">
      <alignment horizontal="left" indent="1"/>
    </xf>
    <xf numFmtId="0" fontId="71" fillId="0" borderId="3" xfId="0" applyFont="1" applyBorder="1" applyAlignment="1">
      <alignment horizontal="left" indent="2"/>
    </xf>
    <xf numFmtId="0" fontId="71" fillId="0" borderId="4" xfId="0" applyFont="1" applyBorder="1" applyAlignment="1">
      <alignment horizontal="left" indent="2"/>
    </xf>
    <xf numFmtId="0" fontId="72" fillId="0" borderId="0" xfId="0" applyFont="1" applyAlignment="1">
      <alignment horizontal="left" indent="1"/>
    </xf>
    <xf numFmtId="0" fontId="72" fillId="0" borderId="0" xfId="0" applyFont="1"/>
    <xf numFmtId="0" fontId="71" fillId="0" borderId="4" xfId="0" applyFont="1" applyBorder="1" applyAlignment="1">
      <alignment horizontal="left" indent="1"/>
    </xf>
    <xf numFmtId="166" fontId="71" fillId="0" borderId="5" xfId="2" applyNumberFormat="1" applyFont="1" applyFill="1" applyBorder="1" applyAlignment="1">
      <alignment horizontal="right"/>
    </xf>
    <xf numFmtId="166" fontId="71" fillId="0" borderId="0" xfId="2" applyNumberFormat="1" applyFont="1" applyAlignment="1">
      <alignment horizontal="right"/>
    </xf>
    <xf numFmtId="166" fontId="71" fillId="0" borderId="5" xfId="2" applyNumberFormat="1" applyFont="1" applyBorder="1" applyAlignment="1">
      <alignment horizontal="right"/>
    </xf>
    <xf numFmtId="166" fontId="71" fillId="9" borderId="0" xfId="2" applyNumberFormat="1" applyFont="1" applyFill="1" applyAlignment="1">
      <alignment horizontal="right"/>
    </xf>
    <xf numFmtId="0" fontId="72" fillId="0" borderId="4" xfId="0" applyFont="1" applyBorder="1"/>
    <xf numFmtId="165" fontId="59" fillId="0" borderId="5" xfId="1" quotePrefix="1" applyNumberFormat="1" applyFont="1" applyBorder="1" applyAlignment="1">
      <alignment horizontal="right"/>
    </xf>
    <xf numFmtId="165" fontId="59" fillId="0" borderId="28" xfId="1" quotePrefix="1" applyNumberFormat="1" applyFont="1" applyBorder="1" applyAlignment="1">
      <alignment horizontal="right"/>
    </xf>
    <xf numFmtId="164" fontId="60" fillId="0" borderId="5" xfId="1" quotePrefix="1" applyNumberFormat="1" applyFont="1" applyBorder="1" applyAlignment="1">
      <alignment horizontal="right"/>
    </xf>
    <xf numFmtId="164" fontId="59" fillId="0" borderId="5" xfId="2" applyNumberFormat="1" applyFont="1" applyBorder="1" applyAlignment="1">
      <alignment horizontal="right"/>
    </xf>
    <xf numFmtId="43" fontId="4" fillId="0" borderId="0" xfId="1" applyFont="1" applyFill="1"/>
    <xf numFmtId="166" fontId="73" fillId="0" borderId="5" xfId="2" quotePrefix="1" applyNumberFormat="1" applyFont="1" applyBorder="1" applyAlignment="1">
      <alignment horizontal="right"/>
    </xf>
    <xf numFmtId="9" fontId="63" fillId="0" borderId="0" xfId="2" applyFont="1" applyFill="1" applyAlignment="1">
      <alignment horizontal="right"/>
    </xf>
    <xf numFmtId="166" fontId="58" fillId="9" borderId="26" xfId="2" applyNumberFormat="1" applyFont="1" applyFill="1" applyBorder="1" applyAlignment="1">
      <alignment horizontal="right"/>
    </xf>
    <xf numFmtId="165" fontId="74" fillId="0" borderId="0" xfId="2" applyNumberFormat="1" applyFont="1" applyAlignment="1">
      <alignment horizontal="right"/>
    </xf>
    <xf numFmtId="0" fontId="63" fillId="0" borderId="0" xfId="0" quotePrefix="1" applyFont="1"/>
    <xf numFmtId="166" fontId="74" fillId="0" borderId="0" xfId="2" applyNumberFormat="1" applyFont="1" applyFill="1" applyAlignment="1">
      <alignment horizontal="right"/>
    </xf>
    <xf numFmtId="9" fontId="74" fillId="0" borderId="0" xfId="2" applyFont="1" applyFill="1" applyAlignment="1">
      <alignment horizontal="right"/>
    </xf>
    <xf numFmtId="43" fontId="74" fillId="0" borderId="0" xfId="1" applyFont="1" applyFill="1" applyAlignment="1">
      <alignment horizontal="right"/>
    </xf>
    <xf numFmtId="165" fontId="74" fillId="0" borderId="0" xfId="2" applyNumberFormat="1" applyFont="1" applyFill="1" applyAlignment="1">
      <alignment horizontal="right"/>
    </xf>
    <xf numFmtId="10" fontId="74" fillId="0" borderId="0" xfId="2" applyNumberFormat="1" applyFont="1" applyAlignment="1">
      <alignment horizontal="right"/>
    </xf>
    <xf numFmtId="9" fontId="74" fillId="0" borderId="0" xfId="2" applyFont="1" applyAlignment="1">
      <alignment horizontal="right"/>
    </xf>
    <xf numFmtId="43" fontId="74" fillId="0" borderId="0" xfId="2" applyNumberFormat="1" applyFont="1" applyAlignment="1">
      <alignment horizontal="right"/>
    </xf>
    <xf numFmtId="166" fontId="58" fillId="0" borderId="25" xfId="2" applyNumberFormat="1" applyFont="1" applyBorder="1" applyAlignment="1">
      <alignment horizontal="right"/>
    </xf>
    <xf numFmtId="0" fontId="58" fillId="0" borderId="3" xfId="0" applyFont="1" applyBorder="1" applyAlignment="1">
      <alignment horizontal="left"/>
    </xf>
    <xf numFmtId="0" fontId="58" fillId="0" borderId="4" xfId="0" applyFont="1" applyBorder="1" applyAlignment="1">
      <alignment horizontal="left"/>
    </xf>
    <xf numFmtId="0" fontId="59" fillId="0" borderId="4" xfId="0" applyFont="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2"/>
    </xf>
    <xf numFmtId="0" fontId="59" fillId="0" borderId="3" xfId="0" applyFont="1" applyBorder="1" applyAlignment="1">
      <alignment horizontal="left" indent="3"/>
    </xf>
    <xf numFmtId="0" fontId="58" fillId="0" borderId="3" xfId="0" applyFont="1" applyBorder="1" applyAlignment="1">
      <alignment horizontal="left" indent="4"/>
    </xf>
    <xf numFmtId="9" fontId="58" fillId="0" borderId="7" xfId="2" applyFont="1" applyFill="1" applyBorder="1" applyAlignment="1">
      <alignment horizontal="right"/>
    </xf>
    <xf numFmtId="165" fontId="58" fillId="0" borderId="8" xfId="1" applyNumberFormat="1" applyFont="1" applyFill="1" applyBorder="1" applyAlignment="1">
      <alignment horizontal="right"/>
    </xf>
    <xf numFmtId="164" fontId="59" fillId="0" borderId="25" xfId="1" quotePrefix="1" applyNumberFormat="1" applyFont="1" applyFill="1" applyBorder="1" applyAlignment="1">
      <alignment horizontal="right"/>
    </xf>
    <xf numFmtId="164" fontId="60" fillId="0" borderId="5" xfId="1" quotePrefix="1" applyNumberFormat="1" applyFont="1" applyFill="1" applyBorder="1" applyAlignment="1">
      <alignment horizontal="right"/>
    </xf>
    <xf numFmtId="10" fontId="58" fillId="0" borderId="0" xfId="2" applyNumberFormat="1" applyFont="1" applyAlignment="1">
      <alignment horizontal="right"/>
    </xf>
    <xf numFmtId="10" fontId="58" fillId="9" borderId="0" xfId="2" applyNumberFormat="1" applyFont="1" applyFill="1" applyAlignment="1">
      <alignment horizontal="right"/>
    </xf>
    <xf numFmtId="9" fontId="4" fillId="0" borderId="0" xfId="2" applyFont="1" applyFill="1"/>
    <xf numFmtId="9" fontId="62" fillId="0" borderId="5" xfId="1" applyNumberFormat="1" applyFont="1" applyFill="1" applyBorder="1" applyAlignment="1">
      <alignment horizontal="right"/>
    </xf>
    <xf numFmtId="9" fontId="62" fillId="0" borderId="5" xfId="1" applyNumberFormat="1" applyFont="1" applyBorder="1" applyAlignment="1">
      <alignment horizontal="right"/>
    </xf>
    <xf numFmtId="167" fontId="71" fillId="10" borderId="0" xfId="1" applyNumberFormat="1" applyFont="1" applyFill="1" applyAlignment="1">
      <alignment horizontal="right"/>
    </xf>
    <xf numFmtId="0" fontId="58" fillId="0" borderId="23" xfId="0" applyFont="1" applyBorder="1" applyAlignment="1">
      <alignment horizontal="left" indent="2"/>
    </xf>
    <xf numFmtId="0" fontId="58" fillId="0" borderId="24" xfId="0" applyFont="1" applyBorder="1" applyAlignment="1">
      <alignment horizontal="left" indent="1"/>
    </xf>
    <xf numFmtId="9" fontId="58" fillId="0" borderId="27" xfId="2" applyFont="1" applyFill="1" applyBorder="1" applyAlignment="1">
      <alignment horizontal="right"/>
    </xf>
    <xf numFmtId="9" fontId="58" fillId="0" borderId="28" xfId="2" applyFont="1" applyFill="1" applyBorder="1" applyAlignment="1">
      <alignment horizontal="right"/>
    </xf>
    <xf numFmtId="9" fontId="58" fillId="0" borderId="27" xfId="2" applyFont="1" applyBorder="1" applyAlignment="1">
      <alignment horizontal="right"/>
    </xf>
    <xf numFmtId="9" fontId="58" fillId="0" borderId="28" xfId="2" applyFont="1" applyBorder="1" applyAlignment="1">
      <alignment horizontal="right"/>
    </xf>
    <xf numFmtId="9" fontId="62" fillId="0" borderId="0" xfId="1" applyNumberFormat="1" applyFont="1" applyFill="1" applyBorder="1" applyAlignment="1">
      <alignment horizontal="right"/>
    </xf>
    <xf numFmtId="9" fontId="62" fillId="0" borderId="0" xfId="1" applyNumberFormat="1" applyFont="1" applyBorder="1" applyAlignment="1">
      <alignment horizontal="right"/>
    </xf>
    <xf numFmtId="9" fontId="62" fillId="0" borderId="0" xfId="2" applyFont="1" applyBorder="1" applyAlignment="1">
      <alignment horizontal="right"/>
    </xf>
    <xf numFmtId="0" fontId="59" fillId="0" borderId="12" xfId="0" applyFont="1" applyBorder="1" applyAlignment="1">
      <alignment horizontal="left" indent="3"/>
    </xf>
    <xf numFmtId="0" fontId="59" fillId="0" borderId="13" xfId="0" applyFont="1" applyBorder="1" applyAlignment="1">
      <alignment horizontal="left" indent="1"/>
    </xf>
    <xf numFmtId="9" fontId="59" fillId="0" borderId="26" xfId="2" applyFont="1" applyFill="1" applyBorder="1" applyAlignment="1">
      <alignment horizontal="right"/>
    </xf>
    <xf numFmtId="9" fontId="59" fillId="0" borderId="25" xfId="2" applyFont="1" applyFill="1" applyBorder="1" applyAlignment="1">
      <alignment horizontal="right"/>
    </xf>
    <xf numFmtId="166" fontId="59" fillId="0" borderId="26" xfId="2" applyNumberFormat="1" applyFont="1" applyFill="1" applyBorder="1" applyAlignment="1">
      <alignment horizontal="right"/>
    </xf>
    <xf numFmtId="226" fontId="59" fillId="0" borderId="25" xfId="2" applyNumberFormat="1" applyFont="1" applyFill="1" applyBorder="1" applyAlignment="1">
      <alignment horizontal="right"/>
    </xf>
    <xf numFmtId="9" fontId="59" fillId="0" borderId="25" xfId="2" applyFont="1" applyBorder="1" applyAlignment="1">
      <alignment horizontal="right"/>
    </xf>
    <xf numFmtId="0" fontId="58" fillId="0" borderId="23" xfId="0" applyFont="1" applyBorder="1" applyAlignment="1">
      <alignment horizontal="left" indent="1"/>
    </xf>
    <xf numFmtId="0" fontId="71" fillId="0" borderId="0" xfId="0" applyFont="1"/>
    <xf numFmtId="0" fontId="72" fillId="0" borderId="0" xfId="0" applyFont="1" applyAlignment="1">
      <alignment horizontal="left"/>
    </xf>
    <xf numFmtId="43" fontId="58" fillId="0" borderId="0" xfId="1" applyFont="1" applyFill="1" applyBorder="1" applyAlignment="1">
      <alignment horizontal="right"/>
    </xf>
    <xf numFmtId="43" fontId="58" fillId="9" borderId="0" xfId="1" applyFont="1" applyFill="1" applyBorder="1" applyAlignment="1">
      <alignment horizontal="right"/>
    </xf>
    <xf numFmtId="9" fontId="4" fillId="0" borderId="0" xfId="2" applyFont="1"/>
    <xf numFmtId="9" fontId="58" fillId="0" borderId="6" xfId="2" applyFont="1" applyFill="1" applyBorder="1" applyAlignment="1">
      <alignment horizontal="left" indent="2"/>
    </xf>
    <xf numFmtId="9" fontId="58" fillId="0" borderId="10" xfId="2" applyFont="1" applyFill="1" applyBorder="1" applyAlignment="1">
      <alignment horizontal="left" indent="1"/>
    </xf>
    <xf numFmtId="9" fontId="59" fillId="0" borderId="8" xfId="2" applyFont="1" applyFill="1" applyBorder="1" applyAlignment="1">
      <alignment horizontal="right"/>
    </xf>
    <xf numFmtId="7" fontId="58" fillId="0" borderId="27" xfId="1" applyNumberFormat="1" applyFont="1" applyBorder="1" applyAlignment="1">
      <alignment horizontal="right"/>
    </xf>
    <xf numFmtId="7" fontId="4" fillId="0" borderId="28" xfId="1" applyNumberFormat="1" applyFont="1" applyBorder="1" applyAlignment="1">
      <alignment horizontal="right"/>
    </xf>
    <xf numFmtId="7" fontId="58" fillId="9" borderId="27" xfId="1" applyNumberFormat="1" applyFont="1" applyFill="1" applyBorder="1" applyAlignment="1">
      <alignment horizontal="right"/>
    </xf>
    <xf numFmtId="0" fontId="58" fillId="0" borderId="23" xfId="0" applyFont="1" applyBorder="1" applyAlignment="1">
      <alignment horizontal="left"/>
    </xf>
    <xf numFmtId="0" fontId="58" fillId="0" borderId="24" xfId="0" applyFont="1" applyBorder="1" applyAlignment="1">
      <alignment horizontal="left"/>
    </xf>
    <xf numFmtId="0" fontId="61" fillId="0" borderId="23" xfId="0" applyFont="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165" fontId="59" fillId="0" borderId="28" xfId="1" quotePrefix="1" applyNumberFormat="1" applyFont="1" applyFill="1" applyBorder="1" applyAlignment="1">
      <alignment horizontal="right"/>
    </xf>
    <xf numFmtId="166" fontId="73" fillId="0" borderId="5" xfId="2" quotePrefix="1" applyNumberFormat="1" applyFont="1" applyFill="1" applyBorder="1" applyAlignment="1">
      <alignment horizontal="right"/>
    </xf>
    <xf numFmtId="166" fontId="63" fillId="0" borderId="5" xfId="2" quotePrefix="1" applyNumberFormat="1" applyFont="1" applyFill="1" applyBorder="1" applyAlignment="1">
      <alignment horizontal="right"/>
    </xf>
    <xf numFmtId="164" fontId="52" fillId="0" borderId="5" xfId="1" quotePrefix="1" applyNumberFormat="1" applyFont="1" applyFill="1" applyBorder="1" applyAlignment="1">
      <alignment horizontal="right"/>
    </xf>
    <xf numFmtId="9" fontId="4" fillId="0" borderId="5" xfId="2" applyFont="1" applyFill="1" applyBorder="1" applyAlignment="1">
      <alignment horizontal="right"/>
    </xf>
    <xf numFmtId="7" fontId="4" fillId="0" borderId="28"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29"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165" fontId="60" fillId="0" borderId="5" xfId="1" applyNumberFormat="1" applyFont="1" applyFill="1" applyBorder="1" applyAlignment="1">
      <alignment horizontal="right"/>
    </xf>
    <xf numFmtId="165" fontId="52" fillId="3" borderId="0" xfId="1" quotePrefix="1" applyNumberFormat="1" applyFont="1" applyFill="1" applyAlignment="1">
      <alignment horizontal="right"/>
    </xf>
    <xf numFmtId="165" fontId="52" fillId="3" borderId="5" xfId="1" quotePrefix="1" applyNumberFormat="1" applyFont="1" applyFill="1" applyBorder="1" applyAlignment="1">
      <alignment horizontal="right"/>
    </xf>
    <xf numFmtId="0" fontId="58" fillId="0" borderId="3" xfId="3" applyFont="1" applyBorder="1" applyAlignment="1">
      <alignment horizontal="left" vertical="top"/>
    </xf>
    <xf numFmtId="0" fontId="58" fillId="0" borderId="4" xfId="3" applyFont="1" applyBorder="1" applyAlignment="1">
      <alignment horizontal="left" vertical="top"/>
    </xf>
    <xf numFmtId="165" fontId="59" fillId="0" borderId="7" xfId="1" applyNumberFormat="1" applyFont="1" applyBorder="1" applyAlignment="1">
      <alignment horizontal="right"/>
    </xf>
    <xf numFmtId="165" fontId="59" fillId="0" borderId="8" xfId="1" applyNumberFormat="1" applyFont="1" applyBorder="1" applyAlignment="1">
      <alignment horizontal="right"/>
    </xf>
    <xf numFmtId="165" fontId="4" fillId="0" borderId="0" xfId="0" applyNumberFormat="1" applyFont="1" applyAlignment="1">
      <alignment horizontal="left"/>
    </xf>
    <xf numFmtId="43" fontId="53" fillId="0" borderId="0" xfId="0" applyNumberFormat="1" applyFont="1" applyAlignment="1">
      <alignment horizontal="left"/>
    </xf>
    <xf numFmtId="165" fontId="53" fillId="0" borderId="9" xfId="1" applyNumberFormat="1" applyFont="1" applyFill="1" applyBorder="1" applyAlignment="1">
      <alignment horizontal="right"/>
    </xf>
    <xf numFmtId="165" fontId="53" fillId="0" borderId="9" xfId="1" applyNumberFormat="1" applyFont="1" applyBorder="1" applyAlignment="1">
      <alignment horizontal="right"/>
    </xf>
    <xf numFmtId="0" fontId="75" fillId="0" borderId="4" xfId="0" applyFont="1" applyBorder="1" applyAlignment="1">
      <alignment horizontal="left"/>
    </xf>
    <xf numFmtId="165" fontId="58" fillId="0" borderId="0" xfId="1" quotePrefix="1" applyNumberFormat="1" applyFont="1" applyFill="1" applyAlignment="1">
      <alignment horizontal="right"/>
    </xf>
    <xf numFmtId="164" fontId="58" fillId="0" borderId="0" xfId="1" quotePrefix="1" applyNumberFormat="1" applyFont="1" applyAlignment="1">
      <alignment horizontal="right"/>
    </xf>
    <xf numFmtId="164" fontId="58" fillId="0" borderId="0" xfId="1" quotePrefix="1" applyNumberFormat="1" applyFont="1" applyFill="1" applyAlignment="1">
      <alignment horizontal="right"/>
    </xf>
    <xf numFmtId="164" fontId="58" fillId="9" borderId="0" xfId="1" quotePrefix="1" applyNumberFormat="1" applyFont="1" applyFill="1" applyAlignment="1">
      <alignment horizontal="right"/>
    </xf>
    <xf numFmtId="164" fontId="4" fillId="0" borderId="5" xfId="1" quotePrefix="1" applyNumberFormat="1" applyFont="1" applyBorder="1" applyAlignment="1">
      <alignment horizontal="right"/>
    </xf>
    <xf numFmtId="165" fontId="58" fillId="0" borderId="0" xfId="1" quotePrefix="1" applyNumberFormat="1" applyFont="1" applyAlignment="1">
      <alignment horizontal="right"/>
    </xf>
    <xf numFmtId="43" fontId="58" fillId="0" borderId="5" xfId="1" quotePrefix="1" applyFont="1" applyBorder="1" applyAlignment="1">
      <alignment horizontal="right"/>
    </xf>
    <xf numFmtId="166" fontId="58" fillId="0" borderId="0" xfId="2" quotePrefix="1" applyNumberFormat="1" applyFont="1" applyFill="1" applyAlignment="1">
      <alignment horizontal="right"/>
    </xf>
    <xf numFmtId="166" fontId="58" fillId="0" borderId="5" xfId="2" quotePrefix="1" applyNumberFormat="1" applyFont="1" applyBorder="1" applyAlignment="1">
      <alignment horizontal="right"/>
    </xf>
    <xf numFmtId="166" fontId="58" fillId="9" borderId="0" xfId="2" quotePrefix="1" applyNumberFormat="1" applyFont="1" applyFill="1" applyAlignment="1">
      <alignment horizontal="right"/>
    </xf>
    <xf numFmtId="166" fontId="58" fillId="9" borderId="4" xfId="2" applyNumberFormat="1" applyFont="1" applyFill="1" applyBorder="1" applyAlignment="1">
      <alignment horizontal="right"/>
    </xf>
    <xf numFmtId="166" fontId="58" fillId="0" borderId="0" xfId="2" quotePrefix="1" applyNumberFormat="1" applyFont="1" applyBorder="1" applyAlignment="1">
      <alignment horizontal="right"/>
    </xf>
    <xf numFmtId="166" fontId="58" fillId="0" borderId="0" xfId="2" applyNumberFormat="1" applyFont="1" applyFill="1" applyBorder="1" applyAlignment="1">
      <alignment horizontal="right"/>
    </xf>
    <xf numFmtId="166" fontId="58" fillId="0" borderId="0" xfId="2" quotePrefix="1" applyNumberFormat="1" applyFont="1" applyFill="1" applyBorder="1" applyAlignment="1">
      <alignment horizontal="right"/>
    </xf>
    <xf numFmtId="166" fontId="58" fillId="9" borderId="0" xfId="2" applyNumberFormat="1" applyFont="1" applyFill="1" applyBorder="1" applyAlignment="1">
      <alignment horizontal="right"/>
    </xf>
    <xf numFmtId="166" fontId="58" fillId="9" borderId="0" xfId="2" quotePrefix="1" applyNumberFormat="1" applyFont="1" applyFill="1" applyBorder="1" applyAlignment="1">
      <alignment horizontal="right"/>
    </xf>
    <xf numFmtId="166" fontId="4" fillId="0" borderId="5" xfId="2" quotePrefix="1" applyNumberFormat="1" applyFont="1" applyBorder="1" applyAlignment="1">
      <alignment horizontal="right"/>
    </xf>
    <xf numFmtId="0" fontId="76" fillId="0" borderId="23" xfId="0" applyFont="1" applyBorder="1" applyAlignment="1">
      <alignment horizontal="left"/>
    </xf>
    <xf numFmtId="166" fontId="58" fillId="0" borderId="27" xfId="2" quotePrefix="1" applyNumberFormat="1" applyFont="1" applyFill="1" applyBorder="1" applyAlignment="1">
      <alignment horizontal="right"/>
    </xf>
    <xf numFmtId="166" fontId="58" fillId="0" borderId="27" xfId="2" applyNumberFormat="1" applyFont="1" applyFill="1" applyBorder="1" applyAlignment="1">
      <alignment horizontal="right"/>
    </xf>
    <xf numFmtId="166" fontId="58" fillId="0" borderId="28" xfId="2" quotePrefix="1" applyNumberFormat="1" applyFont="1" applyFill="1" applyBorder="1" applyAlignment="1">
      <alignment horizontal="right"/>
    </xf>
    <xf numFmtId="166" fontId="4" fillId="0" borderId="28" xfId="2" quotePrefix="1" applyNumberFormat="1" applyFont="1" applyFill="1" applyBorder="1" applyAlignment="1">
      <alignment horizontal="right"/>
    </xf>
    <xf numFmtId="0" fontId="4" fillId="0" borderId="27" xfId="0" applyFont="1" applyBorder="1"/>
    <xf numFmtId="165" fontId="58" fillId="0" borderId="4" xfId="1" applyNumberFormat="1" applyFont="1" applyBorder="1" applyAlignment="1">
      <alignment horizontal="left"/>
    </xf>
    <xf numFmtId="165" fontId="58" fillId="0" borderId="0" xfId="1" quotePrefix="1" applyNumberFormat="1" applyFont="1" applyBorder="1" applyAlignment="1">
      <alignment horizontal="right"/>
    </xf>
    <xf numFmtId="165" fontId="58" fillId="0" borderId="0" xfId="1" quotePrefix="1" applyNumberFormat="1" applyFont="1" applyFill="1" applyBorder="1" applyAlignment="1">
      <alignment horizontal="right"/>
    </xf>
    <xf numFmtId="165" fontId="58" fillId="9" borderId="0" xfId="1" applyNumberFormat="1" applyFont="1" applyFill="1" applyBorder="1" applyAlignment="1">
      <alignment horizontal="right"/>
    </xf>
    <xf numFmtId="165" fontId="58" fillId="9" borderId="0" xfId="1" quotePrefix="1" applyNumberFormat="1" applyFont="1" applyFill="1" applyBorder="1" applyAlignment="1">
      <alignment horizontal="right"/>
    </xf>
    <xf numFmtId="165" fontId="4" fillId="0" borderId="0" xfId="1" applyNumberFormat="1" applyFont="1" applyBorder="1"/>
    <xf numFmtId="9" fontId="58" fillId="0" borderId="0" xfId="2" applyFont="1" applyFill="1" applyBorder="1" applyAlignment="1">
      <alignment horizontal="right"/>
    </xf>
    <xf numFmtId="165" fontId="59" fillId="0" borderId="0" xfId="1" quotePrefix="1" applyNumberFormat="1" applyFont="1" applyBorder="1" applyAlignment="1">
      <alignment horizontal="right"/>
    </xf>
    <xf numFmtId="227" fontId="59" fillId="0" borderId="5" xfId="1" quotePrefix="1" applyNumberFormat="1" applyFont="1" applyBorder="1" applyAlignment="1">
      <alignment horizontal="right"/>
    </xf>
    <xf numFmtId="164" fontId="59" fillId="0" borderId="0" xfId="1" quotePrefix="1" applyNumberFormat="1" applyFont="1" applyBorder="1" applyAlignment="1">
      <alignment horizontal="right"/>
    </xf>
    <xf numFmtId="227" fontId="59" fillId="0" borderId="5" xfId="1" quotePrefix="1" applyNumberFormat="1" applyFont="1" applyFill="1" applyBorder="1" applyAlignment="1">
      <alignment horizontal="right"/>
    </xf>
    <xf numFmtId="9" fontId="59" fillId="0" borderId="0" xfId="2" quotePrefix="1" applyFont="1" applyBorder="1" applyAlignment="1">
      <alignment horizontal="right"/>
    </xf>
    <xf numFmtId="0" fontId="58" fillId="0" borderId="3" xfId="0" applyFont="1" applyBorder="1"/>
    <xf numFmtId="0" fontId="58" fillId="0" borderId="0" xfId="0" applyFont="1" applyAlignment="1">
      <alignment horizontal="right"/>
    </xf>
    <xf numFmtId="0" fontId="58" fillId="0" borderId="5" xfId="0" applyFont="1" applyBorder="1" applyAlignment="1">
      <alignment horizontal="right"/>
    </xf>
    <xf numFmtId="43" fontId="58" fillId="0" borderId="0" xfId="1" quotePrefix="1" applyFont="1" applyBorder="1" applyAlignment="1">
      <alignment horizontal="right"/>
    </xf>
    <xf numFmtId="165" fontId="58" fillId="0" borderId="5" xfId="2" applyNumberFormat="1" applyFont="1" applyBorder="1" applyAlignment="1">
      <alignment horizontal="right"/>
    </xf>
    <xf numFmtId="0" fontId="58" fillId="0" borderId="6" xfId="0" applyFont="1" applyBorder="1"/>
    <xf numFmtId="0" fontId="58" fillId="0" borderId="10" xfId="0" applyFont="1" applyBorder="1"/>
    <xf numFmtId="164" fontId="58" fillId="0" borderId="7" xfId="1" applyNumberFormat="1" applyFont="1" applyBorder="1" applyAlignment="1">
      <alignment horizontal="right"/>
    </xf>
    <xf numFmtId="0" fontId="58" fillId="0" borderId="7" xfId="0" applyFont="1" applyBorder="1" applyAlignment="1">
      <alignment horizontal="right"/>
    </xf>
    <xf numFmtId="0" fontId="58" fillId="0" borderId="8" xfId="0" applyFont="1" applyBorder="1" applyAlignment="1">
      <alignment horizontal="right"/>
    </xf>
    <xf numFmtId="43" fontId="58" fillId="0" borderId="7" xfId="1" quotePrefix="1" applyFont="1" applyBorder="1" applyAlignment="1">
      <alignment horizontal="right"/>
    </xf>
    <xf numFmtId="165" fontId="58" fillId="0" borderId="8" xfId="0" applyNumberFormat="1" applyFont="1" applyBorder="1" applyAlignment="1">
      <alignment horizontal="right"/>
    </xf>
    <xf numFmtId="165" fontId="4" fillId="0" borderId="5" xfId="1" applyNumberFormat="1" applyFont="1" applyBorder="1" applyAlignment="1">
      <alignment horizontal="right"/>
    </xf>
    <xf numFmtId="165" fontId="4" fillId="0" borderId="0" xfId="1" applyNumberFormat="1" applyFont="1" applyAlignment="1">
      <alignment horizontal="left"/>
    </xf>
    <xf numFmtId="0" fontId="58" fillId="0" borderId="12" xfId="0" applyFont="1" applyBorder="1"/>
    <xf numFmtId="0" fontId="58" fillId="0" borderId="13" xfId="0" applyFont="1" applyBorder="1"/>
    <xf numFmtId="165" fontId="58" fillId="11" borderId="27" xfId="1" applyNumberFormat="1" applyFont="1" applyFill="1" applyBorder="1" applyAlignment="1">
      <alignment horizontal="right"/>
    </xf>
    <xf numFmtId="165" fontId="4" fillId="11" borderId="27" xfId="1" applyNumberFormat="1" applyFont="1" applyFill="1" applyBorder="1" applyAlignment="1">
      <alignment horizontal="left"/>
    </xf>
    <xf numFmtId="165" fontId="4" fillId="11" borderId="27" xfId="1" applyNumberFormat="1" applyFont="1" applyFill="1" applyBorder="1" applyAlignment="1">
      <alignment horizontal="right"/>
    </xf>
    <xf numFmtId="165" fontId="58" fillId="11" borderId="28" xfId="1" applyNumberFormat="1" applyFont="1" applyFill="1" applyBorder="1" applyAlignment="1">
      <alignment horizontal="right"/>
    </xf>
    <xf numFmtId="0" fontId="58" fillId="11" borderId="3" xfId="0" applyFont="1" applyFill="1" applyBorder="1" applyAlignment="1">
      <alignment horizontal="left"/>
    </xf>
    <xf numFmtId="0" fontId="58" fillId="11" borderId="4" xfId="0" applyFont="1" applyFill="1" applyBorder="1" applyAlignment="1">
      <alignment horizontal="left"/>
    </xf>
    <xf numFmtId="165" fontId="58" fillId="11" borderId="0" xfId="1" applyNumberFormat="1" applyFont="1" applyFill="1" applyAlignment="1">
      <alignment horizontal="right"/>
    </xf>
    <xf numFmtId="165" fontId="58" fillId="11" borderId="5" xfId="1" applyNumberFormat="1" applyFont="1" applyFill="1" applyBorder="1" applyAlignment="1">
      <alignment horizontal="right"/>
    </xf>
    <xf numFmtId="165" fontId="60" fillId="11" borderId="0" xfId="1" applyNumberFormat="1" applyFont="1" applyFill="1" applyAlignment="1">
      <alignment horizontal="right"/>
    </xf>
    <xf numFmtId="165" fontId="60" fillId="11" borderId="5" xfId="1" applyNumberFormat="1" applyFont="1" applyFill="1" applyBorder="1" applyAlignment="1">
      <alignment horizontal="right"/>
    </xf>
    <xf numFmtId="165" fontId="59" fillId="11" borderId="0" xfId="1" applyNumberFormat="1" applyFont="1" applyFill="1" applyAlignment="1">
      <alignment horizontal="right"/>
    </xf>
    <xf numFmtId="165" fontId="59" fillId="11" borderId="5" xfId="1" applyNumberFormat="1" applyFont="1" applyFill="1" applyBorder="1" applyAlignment="1">
      <alignment horizontal="right"/>
    </xf>
    <xf numFmtId="165" fontId="58" fillId="0" borderId="27" xfId="1" applyNumberFormat="1" applyFont="1" applyBorder="1" applyAlignment="1">
      <alignment horizontal="right"/>
    </xf>
    <xf numFmtId="165" fontId="4" fillId="0" borderId="27" xfId="1" applyNumberFormat="1" applyFont="1" applyBorder="1" applyAlignment="1">
      <alignment horizontal="right"/>
    </xf>
    <xf numFmtId="165" fontId="4" fillId="0" borderId="28" xfId="1" applyNumberFormat="1" applyFont="1" applyBorder="1" applyAlignment="1">
      <alignment horizontal="right"/>
    </xf>
    <xf numFmtId="165" fontId="4" fillId="0" borderId="27" xfId="1" applyNumberFormat="1" applyFont="1" applyFill="1" applyBorder="1" applyAlignment="1">
      <alignment horizontal="right"/>
    </xf>
    <xf numFmtId="165" fontId="58" fillId="0" borderId="28" xfId="1" applyNumberFormat="1" applyFont="1" applyBorder="1" applyAlignment="1">
      <alignment horizontal="right"/>
    </xf>
    <xf numFmtId="0" fontId="58" fillId="11" borderId="0" xfId="0" applyFont="1" applyFill="1" applyAlignment="1">
      <alignment horizontal="left"/>
    </xf>
    <xf numFmtId="0" fontId="61" fillId="11" borderId="4" xfId="0" applyFont="1" applyFill="1" applyBorder="1" applyAlignment="1">
      <alignment horizontal="left"/>
    </xf>
    <xf numFmtId="165" fontId="58" fillId="0" borderId="27" xfId="1" applyNumberFormat="1" applyFont="1" applyFill="1" applyBorder="1" applyAlignment="1">
      <alignment horizontal="right"/>
    </xf>
    <xf numFmtId="165" fontId="58" fillId="9" borderId="27" xfId="1" applyNumberFormat="1" applyFont="1" applyFill="1" applyBorder="1" applyAlignment="1">
      <alignment horizontal="right"/>
    </xf>
    <xf numFmtId="165" fontId="59" fillId="11" borderId="28" xfId="1" applyNumberFormat="1" applyFont="1" applyFill="1" applyBorder="1" applyAlignment="1">
      <alignment horizontal="right"/>
    </xf>
    <xf numFmtId="165" fontId="4" fillId="11" borderId="0" xfId="1" applyNumberFormat="1" applyFont="1" applyFill="1" applyAlignment="1">
      <alignment horizontal="right"/>
    </xf>
    <xf numFmtId="165" fontId="58" fillId="11" borderId="26" xfId="1" applyNumberFormat="1" applyFont="1" applyFill="1" applyBorder="1" applyAlignment="1">
      <alignment horizontal="right"/>
    </xf>
    <xf numFmtId="165" fontId="58" fillId="11" borderId="25" xfId="1" applyNumberFormat="1" applyFont="1" applyFill="1" applyBorder="1" applyAlignment="1">
      <alignment horizontal="right"/>
    </xf>
    <xf numFmtId="43" fontId="58" fillId="0" borderId="7" xfId="1" applyFont="1" applyBorder="1" applyAlignment="1">
      <alignment horizontal="right"/>
    </xf>
    <xf numFmtId="43" fontId="58" fillId="0" borderId="8" xfId="1" applyFont="1" applyBorder="1" applyAlignment="1">
      <alignment horizontal="right"/>
    </xf>
    <xf numFmtId="165" fontId="4" fillId="0" borderId="2" xfId="1" applyNumberFormat="1" applyFont="1" applyBorder="1" applyAlignment="1">
      <alignment horizontal="right"/>
    </xf>
    <xf numFmtId="164" fontId="77" fillId="0" borderId="0" xfId="1" quotePrefix="1" applyNumberFormat="1" applyFont="1" applyAlignment="1">
      <alignment horizontal="right"/>
    </xf>
    <xf numFmtId="164" fontId="77" fillId="0" borderId="5" xfId="1" quotePrefix="1" applyNumberFormat="1" applyFont="1" applyBorder="1" applyAlignment="1">
      <alignment horizontal="right"/>
    </xf>
    <xf numFmtId="166" fontId="58" fillId="0" borderId="0" xfId="2" quotePrefix="1" applyNumberFormat="1" applyFont="1" applyAlignment="1">
      <alignment horizontal="right"/>
    </xf>
    <xf numFmtId="9" fontId="58" fillId="0" borderId="0" xfId="2" quotePrefix="1" applyFont="1" applyAlignment="1">
      <alignment horizontal="right"/>
    </xf>
    <xf numFmtId="9" fontId="58" fillId="0" borderId="5" xfId="2" quotePrefix="1" applyFont="1" applyBorder="1" applyAlignment="1">
      <alignment horizontal="right"/>
    </xf>
    <xf numFmtId="0" fontId="4" fillId="0" borderId="10" xfId="0" applyFont="1" applyBorder="1" applyAlignment="1">
      <alignment horizontal="left"/>
    </xf>
    <xf numFmtId="9" fontId="58" fillId="0" borderId="8" xfId="2" quotePrefix="1" applyFont="1" applyFill="1" applyBorder="1" applyAlignment="1">
      <alignment horizontal="right"/>
    </xf>
    <xf numFmtId="9" fontId="58" fillId="0" borderId="0" xfId="2" quotePrefix="1" applyFont="1" applyFill="1" applyAlignment="1">
      <alignment horizontal="right"/>
    </xf>
    <xf numFmtId="9" fontId="58" fillId="0" borderId="8" xfId="2" quotePrefix="1" applyFont="1" applyBorder="1" applyAlignment="1">
      <alignment horizontal="right"/>
    </xf>
    <xf numFmtId="166" fontId="58" fillId="0" borderId="8" xfId="2" quotePrefix="1" applyNumberFormat="1" applyFont="1" applyBorder="1" applyAlignment="1">
      <alignment horizontal="right"/>
    </xf>
    <xf numFmtId="9" fontId="58" fillId="9" borderId="0" xfId="2" quotePrefix="1" applyFont="1" applyFill="1" applyAlignment="1">
      <alignment horizontal="right"/>
    </xf>
    <xf numFmtId="0" fontId="63" fillId="0" borderId="0" xfId="0" applyFont="1" applyAlignment="1">
      <alignment horizontal="left"/>
    </xf>
    <xf numFmtId="165" fontId="64" fillId="0" borderId="2" xfId="1" quotePrefix="1" applyNumberFormat="1" applyFont="1" applyBorder="1" applyAlignment="1">
      <alignment horizontal="right"/>
    </xf>
    <xf numFmtId="227" fontId="64" fillId="0" borderId="2" xfId="1" quotePrefix="1" applyNumberFormat="1" applyFont="1" applyBorder="1" applyAlignment="1">
      <alignment horizontal="right"/>
    </xf>
    <xf numFmtId="164" fontId="64" fillId="0" borderId="2" xfId="1" quotePrefix="1" applyNumberFormat="1" applyFont="1" applyBorder="1" applyAlignment="1">
      <alignment horizontal="right"/>
    </xf>
    <xf numFmtId="227" fontId="64" fillId="0" borderId="2" xfId="1" quotePrefix="1" applyNumberFormat="1" applyFont="1" applyFill="1" applyBorder="1" applyAlignment="1">
      <alignment horizontal="right"/>
    </xf>
    <xf numFmtId="9" fontId="64" fillId="0" borderId="2" xfId="2" quotePrefix="1" applyFont="1" applyBorder="1" applyAlignment="1">
      <alignment horizontal="right"/>
    </xf>
    <xf numFmtId="0" fontId="4" fillId="0" borderId="4" xfId="0" applyFont="1" applyBorder="1" applyAlignment="1">
      <alignment horizontal="left"/>
    </xf>
    <xf numFmtId="10" fontId="60" fillId="0" borderId="5" xfId="2" applyNumberFormat="1" applyFont="1" applyFill="1" applyBorder="1" applyAlignment="1">
      <alignment horizontal="right"/>
    </xf>
    <xf numFmtId="164" fontId="58" fillId="0" borderId="0" xfId="2" applyNumberFormat="1" applyFont="1" applyFill="1" applyAlignment="1">
      <alignment horizontal="right"/>
    </xf>
    <xf numFmtId="10" fontId="4" fillId="0" borderId="5" xfId="2" quotePrefix="1" applyNumberFormat="1" applyFont="1" applyFill="1" applyBorder="1" applyAlignment="1">
      <alignment horizontal="right"/>
    </xf>
    <xf numFmtId="164" fontId="58" fillId="9" borderId="0" xfId="2" applyNumberFormat="1" applyFont="1" applyFill="1" applyAlignment="1">
      <alignment horizontal="right"/>
    </xf>
    <xf numFmtId="0" fontId="57" fillId="0" borderId="4" xfId="0" applyFont="1" applyBorder="1" applyAlignment="1">
      <alignment horizontal="center" wrapText="1"/>
    </xf>
    <xf numFmtId="0" fontId="56" fillId="2" borderId="1" xfId="0" applyFont="1" applyFill="1" applyBorder="1" applyAlignment="1">
      <alignment horizontal="left"/>
    </xf>
    <xf numFmtId="0" fontId="56" fillId="2" borderId="11" xfId="0" applyFont="1" applyFill="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3" xfId="0" applyFont="1" applyBorder="1" applyAlignment="1">
      <alignment horizontal="left" indent="2"/>
    </xf>
    <xf numFmtId="0" fontId="58" fillId="0" borderId="4" xfId="0" applyFont="1" applyBorder="1" applyAlignment="1">
      <alignment horizontal="left" indent="2"/>
    </xf>
    <xf numFmtId="0" fontId="58" fillId="0" borderId="3" xfId="0" applyFont="1" applyBorder="1" applyAlignment="1">
      <alignment horizontal="left" indent="5"/>
    </xf>
    <xf numFmtId="0" fontId="58" fillId="0" borderId="4" xfId="0" applyFont="1" applyBorder="1" applyAlignment="1">
      <alignment horizontal="left" indent="5"/>
    </xf>
    <xf numFmtId="0" fontId="59" fillId="0" borderId="3" xfId="0" applyFont="1" applyBorder="1" applyAlignment="1">
      <alignment horizontal="left" indent="3"/>
    </xf>
    <xf numFmtId="0" fontId="59" fillId="0" borderId="4" xfId="0" applyFont="1" applyBorder="1" applyAlignment="1">
      <alignment horizontal="left" indent="3"/>
    </xf>
    <xf numFmtId="0" fontId="58" fillId="0" borderId="3" xfId="0" applyFont="1" applyBorder="1" applyAlignment="1">
      <alignment horizontal="left" indent="4"/>
    </xf>
    <xf numFmtId="0" fontId="58" fillId="0" borderId="4" xfId="0" applyFont="1" applyBorder="1" applyAlignment="1">
      <alignment horizontal="left" indent="4"/>
    </xf>
    <xf numFmtId="0" fontId="56" fillId="2" borderId="3" xfId="0" applyFont="1" applyFill="1" applyBorder="1" applyAlignment="1">
      <alignment horizontal="left"/>
    </xf>
    <xf numFmtId="0" fontId="56"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0" borderId="12" xfId="0" applyFont="1" applyBorder="1" applyAlignment="1">
      <alignment horizontal="left"/>
    </xf>
    <xf numFmtId="0" fontId="59" fillId="0" borderId="13"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left"/>
    </xf>
    <xf numFmtId="0" fontId="59" fillId="0" borderId="12" xfId="0" applyFont="1" applyBorder="1" applyAlignment="1">
      <alignment horizontal="left" indent="2"/>
    </xf>
    <xf numFmtId="0" fontId="59" fillId="0" borderId="13" xfId="0" applyFont="1" applyBorder="1" applyAlignment="1">
      <alignment horizontal="left" indent="2"/>
    </xf>
    <xf numFmtId="0" fontId="58" fillId="0" borderId="3" xfId="0" applyFont="1" applyBorder="1" applyAlignment="1">
      <alignment horizontal="left" indent="1"/>
    </xf>
    <xf numFmtId="0" fontId="58" fillId="0" borderId="4" xfId="0" applyFont="1" applyBorder="1" applyAlignment="1">
      <alignment horizontal="left" indent="1"/>
    </xf>
    <xf numFmtId="0" fontId="0" fillId="0" borderId="3" xfId="0" applyBorder="1" applyAlignment="1">
      <alignment horizontal="left"/>
    </xf>
    <xf numFmtId="0" fontId="1" fillId="0" borderId="4" xfId="0" applyFont="1" applyBorder="1" applyAlignment="1">
      <alignment horizontal="left"/>
    </xf>
    <xf numFmtId="0" fontId="58" fillId="0" borderId="23" xfId="0" applyFont="1" applyBorder="1" applyAlignment="1">
      <alignment horizontal="left"/>
    </xf>
    <xf numFmtId="0" fontId="58" fillId="0" borderId="24" xfId="0" applyFont="1" applyBorder="1" applyAlignment="1">
      <alignment horizontal="left"/>
    </xf>
    <xf numFmtId="0" fontId="0" fillId="0" borderId="23" xfId="0" applyBorder="1" applyAlignment="1">
      <alignment horizontal="left"/>
    </xf>
    <xf numFmtId="0" fontId="1" fillId="0" borderId="2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59" fillId="0" borderId="6" xfId="0" applyFont="1" applyBorder="1" applyAlignment="1">
      <alignment horizontal="left" indent="2"/>
    </xf>
    <xf numFmtId="0" fontId="59" fillId="0" borderId="10" xfId="0" applyFont="1" applyBorder="1" applyAlignment="1">
      <alignment horizontal="left" indent="2"/>
    </xf>
    <xf numFmtId="0" fontId="59" fillId="0" borderId="3" xfId="0" applyFont="1" applyBorder="1" applyAlignment="1">
      <alignment horizontal="left" indent="2"/>
    </xf>
    <xf numFmtId="0" fontId="59" fillId="0" borderId="4" xfId="0" applyFont="1" applyBorder="1" applyAlignment="1">
      <alignment horizontal="left" indent="2"/>
    </xf>
    <xf numFmtId="0" fontId="58" fillId="0" borderId="3" xfId="3" applyFont="1" applyBorder="1" applyAlignment="1">
      <alignment horizontal="left" vertical="top"/>
    </xf>
    <xf numFmtId="0" fontId="58" fillId="0" borderId="4" xfId="3" applyFont="1" applyBorder="1" applyAlignment="1">
      <alignment horizontal="left" vertical="top"/>
    </xf>
    <xf numFmtId="0" fontId="58" fillId="11" borderId="3" xfId="0" applyFont="1" applyFill="1" applyBorder="1" applyAlignment="1">
      <alignment horizontal="left"/>
    </xf>
    <xf numFmtId="0" fontId="58" fillId="11" borderId="4" xfId="0" applyFont="1" applyFill="1" applyBorder="1" applyAlignment="1">
      <alignment horizontal="left"/>
    </xf>
    <xf numFmtId="0" fontId="61" fillId="11" borderId="23" xfId="0" applyFont="1" applyFill="1" applyBorder="1" applyAlignment="1">
      <alignment horizontal="left"/>
    </xf>
    <xf numFmtId="0" fontId="61" fillId="11" borderId="24" xfId="0" applyFont="1" applyFill="1" applyBorder="1" applyAlignment="1">
      <alignment horizontal="left"/>
    </xf>
    <xf numFmtId="0" fontId="59" fillId="11" borderId="3" xfId="0" applyFont="1" applyFill="1" applyBorder="1" applyAlignment="1">
      <alignment horizontal="left" indent="1"/>
    </xf>
    <xf numFmtId="0" fontId="59" fillId="11" borderId="4" xfId="0" applyFont="1" applyFill="1" applyBorder="1" applyAlignment="1">
      <alignment horizontal="left" indent="1"/>
    </xf>
    <xf numFmtId="0" fontId="59" fillId="0" borderId="3" xfId="0" applyFont="1" applyBorder="1" applyAlignment="1">
      <alignment horizontal="left"/>
    </xf>
    <xf numFmtId="0" fontId="59" fillId="0" borderId="4" xfId="0" applyFont="1" applyBorder="1" applyAlignment="1">
      <alignment horizontal="left"/>
    </xf>
    <xf numFmtId="0" fontId="58" fillId="11" borderId="23" xfId="0" applyFont="1" applyFill="1" applyBorder="1" applyAlignment="1">
      <alignment horizontal="left"/>
    </xf>
    <xf numFmtId="0" fontId="58" fillId="11" borderId="24" xfId="0" applyFont="1" applyFill="1" applyBorder="1" applyAlignment="1">
      <alignment horizontal="left"/>
    </xf>
    <xf numFmtId="0" fontId="58" fillId="11" borderId="12" xfId="0" applyFont="1" applyFill="1" applyBorder="1" applyAlignment="1">
      <alignment horizontal="left"/>
    </xf>
    <xf numFmtId="0" fontId="58" fillId="11" borderId="13" xfId="0" applyFont="1" applyFill="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4" fillId="0" borderId="2" xfId="0" applyFont="1" applyBorder="1" applyAlignment="1">
      <alignment horizontal="left"/>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D47-4359-993F-738A6F4082E1}"/>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4B2-47B2-AA3D-83299EF3A3CB}"/>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900-4B9E-91DD-FAC02C439578}"/>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CCA-4F88-93E7-02583179AE7A}"/>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5B3-4EC5-915A-AF4FFBF13EF5}"/>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C8A-4A15-89E9-AD6E459DE51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E68-41CC-A139-8EDE3E3DF485}"/>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B67-41A8-AFAE-7762FB2A327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27F-4779-8AB3-7A6BC2C72CF9}"/>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5" name="Chart 4">
          <a:extLst>
            <a:ext uri="{FF2B5EF4-FFF2-40B4-BE49-F238E27FC236}">
              <a16:creationId xmlns:a16="http://schemas.microsoft.com/office/drawing/2014/main" id="{6B9BA363-6D51-4C5A-8B2C-5A9A03E89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3F7BABA0-FBC4-4D33-848F-AE0FF281D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F29EC6B1-3BC9-4815-8E99-B4C80B508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BD788BF8-6BD7-4BAF-A6EE-8A291738F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B79B21A9-C7F3-4056-A036-93DE8BF6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F0A0F0E0-30C2-4562-9720-3E1700E74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2F936734-8D3F-40BF-B885-0EBE340FD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F00858EE-95A0-4852-BEF0-4C8C52E71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BE7E6B64-717A-4BFD-A689-100105AB4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A3A6-E715-416D-A73C-2EF0D0FA94F1}">
  <sheetPr>
    <pageSetUpPr fitToPage="1"/>
  </sheetPr>
  <dimension ref="A1:AV316"/>
  <sheetViews>
    <sheetView showGridLines="0" tabSelected="1" zoomScaleNormal="100" workbookViewId="0">
      <pane xSplit="3" ySplit="4" topLeftCell="H5" activePane="bottomRight" state="frozen"/>
      <selection pane="topRight" activeCell="D1" sqref="D1"/>
      <selection pane="bottomLeft" activeCell="A4" sqref="A4"/>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hidden="1" customWidth="1" outlineLevel="1"/>
    <col min="6" max="7" width="11.5546875" style="3" hidden="1" customWidth="1" outlineLevel="1"/>
    <col min="8" max="8" width="11.5546875" style="3" customWidth="1" collapsed="1"/>
    <col min="9" max="10" width="11.5546875" style="1" hidden="1" customWidth="1" outlineLevel="1"/>
    <col min="11" max="12" width="11.5546875" style="3" hidden="1" customWidth="1" outlineLevel="1"/>
    <col min="13" max="13" width="11.5546875" style="3" customWidth="1" collapsed="1"/>
    <col min="14" max="15" width="11.5546875" style="1" hidden="1" customWidth="1" outlineLevel="1"/>
    <col min="16" max="17" width="11.5546875" style="3" hidden="1" customWidth="1" outlineLevel="1"/>
    <col min="18" max="18" width="11.5546875" style="3" customWidth="1" collapsed="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48" t="s">
        <v>211</v>
      </c>
      <c r="D1" s="45"/>
      <c r="E1" s="150"/>
      <c r="F1" s="150"/>
      <c r="G1" s="150"/>
      <c r="H1" s="150"/>
      <c r="I1" s="227"/>
      <c r="J1" s="227"/>
      <c r="K1" s="227"/>
      <c r="L1" s="227"/>
      <c r="M1" s="163"/>
      <c r="N1" s="227"/>
      <c r="O1" s="227"/>
      <c r="P1" s="227"/>
      <c r="Q1" s="227"/>
      <c r="R1" s="196"/>
      <c r="S1" s="227"/>
      <c r="T1" s="227"/>
      <c r="U1" s="227"/>
      <c r="V1" s="227"/>
      <c r="W1" s="196"/>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1:48" ht="5.4" customHeight="1" x14ac:dyDescent="0.3">
      <c r="B2" s="99"/>
      <c r="D2" s="45"/>
      <c r="E2" s="150"/>
      <c r="F2" s="150"/>
      <c r="G2" s="150"/>
      <c r="H2" s="150"/>
      <c r="I2" s="227"/>
      <c r="J2" s="227"/>
      <c r="K2" s="227"/>
      <c r="L2" s="227"/>
      <c r="M2" s="163"/>
      <c r="N2" s="227"/>
      <c r="O2" s="227"/>
      <c r="P2" s="227"/>
      <c r="Q2" s="227"/>
      <c r="R2" s="196"/>
      <c r="S2" s="227"/>
      <c r="T2" s="227"/>
      <c r="U2" s="227"/>
      <c r="V2" s="227"/>
      <c r="W2" s="196"/>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row>
    <row r="3" spans="1:48" ht="15.6" x14ac:dyDescent="0.3">
      <c r="A3" s="387"/>
      <c r="B3" s="388" t="s">
        <v>18</v>
      </c>
      <c r="C3" s="389"/>
      <c r="D3" s="13" t="s">
        <v>15</v>
      </c>
      <c r="E3" s="13" t="s">
        <v>82</v>
      </c>
      <c r="F3" s="13" t="s">
        <v>84</v>
      </c>
      <c r="G3" s="13" t="s">
        <v>148</v>
      </c>
      <c r="H3" s="39" t="s">
        <v>148</v>
      </c>
      <c r="I3" s="13" t="s">
        <v>147</v>
      </c>
      <c r="J3" s="13" t="s">
        <v>146</v>
      </c>
      <c r="K3" s="13" t="s">
        <v>145</v>
      </c>
      <c r="L3" s="13" t="s">
        <v>142</v>
      </c>
      <c r="M3" s="39" t="s">
        <v>142</v>
      </c>
      <c r="N3" s="13" t="s">
        <v>149</v>
      </c>
      <c r="O3" s="13" t="s">
        <v>157</v>
      </c>
      <c r="P3" s="13" t="s">
        <v>159</v>
      </c>
      <c r="Q3" s="13" t="s">
        <v>172</v>
      </c>
      <c r="R3" s="39" t="s">
        <v>172</v>
      </c>
      <c r="S3" s="13" t="s">
        <v>188</v>
      </c>
      <c r="T3" s="13" t="s">
        <v>191</v>
      </c>
      <c r="U3" s="13" t="s">
        <v>204</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161</v>
      </c>
      <c r="AN3" s="15" t="s">
        <v>162</v>
      </c>
      <c r="AO3" s="15" t="s">
        <v>163</v>
      </c>
      <c r="AP3" s="15" t="s">
        <v>164</v>
      </c>
      <c r="AQ3" s="41" t="s">
        <v>164</v>
      </c>
      <c r="AR3" s="15" t="s">
        <v>192</v>
      </c>
      <c r="AS3" s="15" t="s">
        <v>193</v>
      </c>
      <c r="AT3" s="15" t="s">
        <v>194</v>
      </c>
      <c r="AU3" s="15" t="s">
        <v>195</v>
      </c>
      <c r="AV3" s="41" t="s">
        <v>195</v>
      </c>
    </row>
    <row r="4" spans="1:48" ht="17.55" customHeight="1" x14ac:dyDescent="0.45">
      <c r="A4" s="387"/>
      <c r="B4" s="390" t="s">
        <v>3</v>
      </c>
      <c r="C4" s="391"/>
      <c r="D4" s="14" t="s">
        <v>19</v>
      </c>
      <c r="E4" s="14" t="s">
        <v>81</v>
      </c>
      <c r="F4" s="14" t="s">
        <v>85</v>
      </c>
      <c r="G4" s="14" t="s">
        <v>95</v>
      </c>
      <c r="H4" s="40" t="s">
        <v>96</v>
      </c>
      <c r="I4" s="14" t="s">
        <v>97</v>
      </c>
      <c r="J4" s="14" t="s">
        <v>98</v>
      </c>
      <c r="K4" s="14" t="s">
        <v>99</v>
      </c>
      <c r="L4" s="14" t="s">
        <v>143</v>
      </c>
      <c r="M4" s="40" t="s">
        <v>144</v>
      </c>
      <c r="N4" s="14" t="s">
        <v>150</v>
      </c>
      <c r="O4" s="14" t="s">
        <v>158</v>
      </c>
      <c r="P4" s="14" t="s">
        <v>160</v>
      </c>
      <c r="Q4" s="14" t="s">
        <v>173</v>
      </c>
      <c r="R4" s="40" t="s">
        <v>174</v>
      </c>
      <c r="S4" s="14" t="s">
        <v>189</v>
      </c>
      <c r="T4" s="14" t="s">
        <v>190</v>
      </c>
      <c r="U4" s="14" t="s">
        <v>205</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165</v>
      </c>
      <c r="AN4" s="12" t="s">
        <v>166</v>
      </c>
      <c r="AO4" s="12" t="s">
        <v>167</v>
      </c>
      <c r="AP4" s="12" t="s">
        <v>168</v>
      </c>
      <c r="AQ4" s="42" t="s">
        <v>169</v>
      </c>
      <c r="AR4" s="12" t="s">
        <v>196</v>
      </c>
      <c r="AS4" s="12" t="s">
        <v>197</v>
      </c>
      <c r="AT4" s="12" t="s">
        <v>198</v>
      </c>
      <c r="AU4" s="12" t="s">
        <v>199</v>
      </c>
      <c r="AV4" s="42" t="s">
        <v>200</v>
      </c>
    </row>
    <row r="5" spans="1:48" outlineLevel="1" x14ac:dyDescent="0.3">
      <c r="B5" s="392" t="s">
        <v>101</v>
      </c>
      <c r="C5" s="393"/>
      <c r="D5" s="105">
        <v>5370.3</v>
      </c>
      <c r="E5" s="105">
        <v>5159</v>
      </c>
      <c r="F5" s="105">
        <v>5535</v>
      </c>
      <c r="G5" s="105">
        <f>H5-F5-E5-D5</f>
        <v>5480.1000000000013</v>
      </c>
      <c r="H5" s="171">
        <v>21544.400000000001</v>
      </c>
      <c r="I5" s="105">
        <v>5780.7</v>
      </c>
      <c r="J5" s="105">
        <v>4766</v>
      </c>
      <c r="K5" s="105">
        <v>3444.4</v>
      </c>
      <c r="L5" s="105">
        <v>5173.6000000000004</v>
      </c>
      <c r="M5" s="49">
        <f>SUM(I5:L5)</f>
        <v>19164.7</v>
      </c>
      <c r="N5" s="48">
        <v>5726.5</v>
      </c>
      <c r="O5" s="48">
        <v>5653.1</v>
      </c>
      <c r="P5" s="48">
        <v>6363.1</v>
      </c>
      <c r="Q5" s="105">
        <v>6864.3</v>
      </c>
      <c r="R5" s="49">
        <f>SUM(N5:Q5)</f>
        <v>24607</v>
      </c>
      <c r="S5" s="48">
        <v>6722.4</v>
      </c>
      <c r="T5" s="48">
        <v>6276.7</v>
      </c>
      <c r="U5" s="48">
        <v>6675.5</v>
      </c>
      <c r="V5" s="48"/>
      <c r="W5" s="49"/>
      <c r="X5" s="48"/>
      <c r="Y5" s="48"/>
      <c r="Z5" s="48"/>
      <c r="AA5" s="48"/>
      <c r="AB5" s="49"/>
      <c r="AC5" s="48"/>
      <c r="AD5" s="48"/>
      <c r="AE5" s="48"/>
      <c r="AF5" s="48"/>
      <c r="AG5" s="49"/>
      <c r="AH5" s="48"/>
      <c r="AI5" s="48"/>
      <c r="AJ5" s="48"/>
      <c r="AK5" s="48"/>
      <c r="AL5" s="49"/>
      <c r="AM5" s="48"/>
      <c r="AN5" s="48"/>
      <c r="AO5" s="48"/>
      <c r="AP5" s="48"/>
      <c r="AQ5" s="49"/>
      <c r="AR5" s="48"/>
      <c r="AS5" s="48"/>
      <c r="AT5" s="48"/>
      <c r="AU5" s="48"/>
      <c r="AV5" s="49"/>
    </row>
    <row r="6" spans="1:48" outlineLevel="1" x14ac:dyDescent="0.3">
      <c r="B6" s="392" t="s">
        <v>102</v>
      </c>
      <c r="C6" s="393"/>
      <c r="D6" s="105">
        <v>737.1</v>
      </c>
      <c r="E6" s="105">
        <v>678.2</v>
      </c>
      <c r="F6" s="105">
        <v>725</v>
      </c>
      <c r="G6" s="105">
        <f t="shared" ref="G6:G16" si="0">H6-F6-E6-D6</f>
        <v>734.69999999999993</v>
      </c>
      <c r="H6" s="171">
        <v>2875</v>
      </c>
      <c r="I6" s="105">
        <v>792</v>
      </c>
      <c r="J6" s="105">
        <v>689.8</v>
      </c>
      <c r="K6" s="105">
        <v>300.5</v>
      </c>
      <c r="L6" s="48">
        <v>544.6</v>
      </c>
      <c r="M6" s="49">
        <f t="shared" ref="M6:M7" si="1">SUM(I6:L6)</f>
        <v>2326.9</v>
      </c>
      <c r="N6" s="48">
        <v>613.79999999999995</v>
      </c>
      <c r="O6" s="48">
        <v>595</v>
      </c>
      <c r="P6" s="48">
        <v>680.2</v>
      </c>
      <c r="Q6" s="105">
        <v>794.5</v>
      </c>
      <c r="R6" s="49">
        <f>SUM(N6:Q6)</f>
        <v>2683.5</v>
      </c>
      <c r="S6" s="48">
        <v>850.8</v>
      </c>
      <c r="T6" s="48">
        <v>849.5</v>
      </c>
      <c r="U6" s="48">
        <v>956.8</v>
      </c>
      <c r="V6" s="48"/>
      <c r="W6" s="49"/>
      <c r="X6" s="48"/>
      <c r="Y6" s="48"/>
      <c r="Z6" s="48"/>
      <c r="AA6" s="48"/>
      <c r="AB6" s="49"/>
      <c r="AC6" s="48"/>
      <c r="AD6" s="48"/>
      <c r="AE6" s="48"/>
      <c r="AF6" s="48"/>
      <c r="AG6" s="49"/>
      <c r="AH6" s="48"/>
      <c r="AI6" s="48"/>
      <c r="AJ6" s="48"/>
      <c r="AK6" s="48"/>
      <c r="AL6" s="49"/>
      <c r="AM6" s="48"/>
      <c r="AN6" s="48"/>
      <c r="AO6" s="48"/>
      <c r="AP6" s="48"/>
      <c r="AQ6" s="49"/>
      <c r="AR6" s="48"/>
      <c r="AS6" s="48"/>
      <c r="AT6" s="48"/>
      <c r="AU6" s="48"/>
      <c r="AV6" s="49"/>
    </row>
    <row r="7" spans="1:48" ht="16.2" outlineLevel="1" x14ac:dyDescent="0.45">
      <c r="B7" s="392" t="s">
        <v>103</v>
      </c>
      <c r="C7" s="393"/>
      <c r="D7" s="104">
        <v>525.29999999999995</v>
      </c>
      <c r="E7" s="104">
        <v>468.7</v>
      </c>
      <c r="F7" s="104">
        <v>563</v>
      </c>
      <c r="G7" s="104">
        <f t="shared" si="0"/>
        <v>532.19999999999982</v>
      </c>
      <c r="H7" s="174">
        <v>2089.1999999999998</v>
      </c>
      <c r="I7" s="104">
        <v>524.4</v>
      </c>
      <c r="J7" s="104">
        <v>539.9</v>
      </c>
      <c r="K7" s="104">
        <v>477.2</v>
      </c>
      <c r="L7" s="52">
        <v>484.9</v>
      </c>
      <c r="M7" s="53">
        <f t="shared" si="1"/>
        <v>2026.4</v>
      </c>
      <c r="N7" s="52">
        <v>409.1</v>
      </c>
      <c r="O7" s="52">
        <v>419.9</v>
      </c>
      <c r="P7" s="52">
        <v>453.2</v>
      </c>
      <c r="Q7" s="104">
        <v>487.9</v>
      </c>
      <c r="R7" s="53">
        <f>SUM(N7:Q7)</f>
        <v>1770.1</v>
      </c>
      <c r="S7" s="52">
        <v>477.2</v>
      </c>
      <c r="T7" s="52">
        <v>509.4</v>
      </c>
      <c r="U7" s="52">
        <v>517.79999999999995</v>
      </c>
      <c r="V7" s="52"/>
      <c r="W7" s="174"/>
      <c r="X7" s="52"/>
      <c r="Y7" s="52"/>
      <c r="Z7" s="52"/>
      <c r="AA7" s="52"/>
      <c r="AB7" s="53"/>
      <c r="AC7" s="52"/>
      <c r="AD7" s="52"/>
      <c r="AE7" s="52"/>
      <c r="AF7" s="52"/>
      <c r="AG7" s="53"/>
      <c r="AH7" s="52"/>
      <c r="AI7" s="52"/>
      <c r="AJ7" s="52"/>
      <c r="AK7" s="52"/>
      <c r="AL7" s="53"/>
      <c r="AM7" s="52"/>
      <c r="AN7" s="52"/>
      <c r="AO7" s="52"/>
      <c r="AP7" s="52"/>
      <c r="AQ7" s="53"/>
      <c r="AR7" s="52"/>
      <c r="AS7" s="52"/>
      <c r="AT7" s="52"/>
      <c r="AU7" s="52"/>
      <c r="AV7" s="53"/>
    </row>
    <row r="8" spans="1:48" s="8" customFormat="1" x14ac:dyDescent="0.3">
      <c r="B8" s="394" t="s">
        <v>104</v>
      </c>
      <c r="C8" s="395"/>
      <c r="D8" s="103">
        <f t="shared" ref="D8:AB8" si="2">SUM(D5:D7)</f>
        <v>6632.7000000000007</v>
      </c>
      <c r="E8" s="103">
        <f t="shared" si="2"/>
        <v>6305.9</v>
      </c>
      <c r="F8" s="103">
        <f t="shared" si="2"/>
        <v>6823</v>
      </c>
      <c r="G8" s="103">
        <f t="shared" si="2"/>
        <v>6747.0000000000009</v>
      </c>
      <c r="H8" s="172">
        <f t="shared" si="2"/>
        <v>26508.600000000002</v>
      </c>
      <c r="I8" s="103">
        <f>SUM(I5:I7)</f>
        <v>7097.0999999999995</v>
      </c>
      <c r="J8" s="103">
        <f>SUM(J5:J7)</f>
        <v>5995.7</v>
      </c>
      <c r="K8" s="103">
        <f>SUM(K5:K7)</f>
        <v>4222.1000000000004</v>
      </c>
      <c r="L8" s="103">
        <f>SUM(L5:L7)</f>
        <v>6203.1</v>
      </c>
      <c r="M8" s="172">
        <f t="shared" si="2"/>
        <v>23518.000000000004</v>
      </c>
      <c r="N8" s="103">
        <f t="shared" si="2"/>
        <v>6749.4000000000005</v>
      </c>
      <c r="O8" s="103">
        <f t="shared" si="2"/>
        <v>6668</v>
      </c>
      <c r="P8" s="103">
        <f t="shared" si="2"/>
        <v>7496.5</v>
      </c>
      <c r="Q8" s="103">
        <f>SUM(Q5:Q7)</f>
        <v>8146.7</v>
      </c>
      <c r="R8" s="172">
        <f t="shared" si="2"/>
        <v>29060.6</v>
      </c>
      <c r="S8" s="103">
        <f t="shared" si="2"/>
        <v>8050.4</v>
      </c>
      <c r="T8" s="103">
        <f t="shared" si="2"/>
        <v>7635.5999999999995</v>
      </c>
      <c r="U8" s="103">
        <f t="shared" si="2"/>
        <v>8150.1</v>
      </c>
      <c r="V8" s="103"/>
      <c r="W8" s="172"/>
      <c r="X8" s="50"/>
      <c r="Y8" s="50"/>
      <c r="Z8" s="50"/>
      <c r="AA8" s="50"/>
      <c r="AB8" s="172"/>
      <c r="AC8" s="50"/>
      <c r="AD8" s="50"/>
      <c r="AE8" s="50"/>
      <c r="AF8" s="50"/>
      <c r="AG8" s="51"/>
      <c r="AH8" s="50"/>
      <c r="AI8" s="50"/>
      <c r="AJ8" s="50"/>
      <c r="AK8" s="50"/>
      <c r="AL8" s="51"/>
      <c r="AM8" s="50"/>
      <c r="AN8" s="50"/>
      <c r="AO8" s="50"/>
      <c r="AP8" s="50"/>
      <c r="AQ8" s="51"/>
      <c r="AR8" s="50"/>
      <c r="AS8" s="50"/>
      <c r="AT8" s="50"/>
      <c r="AU8" s="50"/>
      <c r="AV8" s="51"/>
    </row>
    <row r="9" spans="1:48" outlineLevel="1" x14ac:dyDescent="0.3">
      <c r="B9" s="396" t="s">
        <v>100</v>
      </c>
      <c r="C9" s="397"/>
      <c r="D9" s="105">
        <v>2175.8000000000002</v>
      </c>
      <c r="E9" s="105">
        <v>2012</v>
      </c>
      <c r="F9" s="105">
        <v>2199.6</v>
      </c>
      <c r="G9" s="105">
        <f t="shared" si="0"/>
        <v>2139.4999999999991</v>
      </c>
      <c r="H9" s="171">
        <v>8526.9</v>
      </c>
      <c r="I9" s="105">
        <v>2236.4</v>
      </c>
      <c r="J9" s="105">
        <v>1997.7</v>
      </c>
      <c r="K9" s="105">
        <v>1484</v>
      </c>
      <c r="L9" s="105">
        <v>1976.8</v>
      </c>
      <c r="M9" s="171">
        <f>SUM(I9:L9)</f>
        <v>7694.9000000000005</v>
      </c>
      <c r="N9" s="105">
        <v>2049.1</v>
      </c>
      <c r="O9" s="105">
        <v>1992.4</v>
      </c>
      <c r="P9" s="105">
        <v>2206</v>
      </c>
      <c r="Q9" s="105">
        <v>2491.1</v>
      </c>
      <c r="R9" s="171">
        <f>SUM(N9:Q9)</f>
        <v>8738.6</v>
      </c>
      <c r="S9" s="105">
        <v>2526.9</v>
      </c>
      <c r="T9" s="105">
        <v>2465.8000000000002</v>
      </c>
      <c r="U9" s="105">
        <v>2613.6</v>
      </c>
      <c r="V9" s="105"/>
      <c r="W9" s="171"/>
      <c r="X9" s="105"/>
      <c r="Y9" s="105"/>
      <c r="Z9" s="105"/>
      <c r="AA9" s="105"/>
      <c r="AB9" s="49"/>
      <c r="AC9" s="105"/>
      <c r="AD9" s="105"/>
      <c r="AE9" s="105"/>
      <c r="AF9" s="105"/>
      <c r="AG9" s="49"/>
      <c r="AH9" s="105"/>
      <c r="AI9" s="105"/>
      <c r="AJ9" s="105"/>
      <c r="AK9" s="105"/>
      <c r="AL9" s="49"/>
      <c r="AM9" s="105"/>
      <c r="AN9" s="105"/>
      <c r="AO9" s="105"/>
      <c r="AP9" s="105"/>
      <c r="AQ9" s="49"/>
      <c r="AR9" s="105"/>
      <c r="AS9" s="105"/>
      <c r="AT9" s="105"/>
      <c r="AU9" s="105"/>
      <c r="AV9" s="49"/>
    </row>
    <row r="10" spans="1:48" outlineLevel="1" x14ac:dyDescent="0.3">
      <c r="B10" s="38" t="s">
        <v>32</v>
      </c>
      <c r="C10" s="18"/>
      <c r="D10" s="105">
        <v>2586.8000000000002</v>
      </c>
      <c r="E10" s="105">
        <v>2554.1</v>
      </c>
      <c r="F10" s="105">
        <v>2643.2</v>
      </c>
      <c r="G10" s="105">
        <f t="shared" si="0"/>
        <v>2709.5000000000009</v>
      </c>
      <c r="H10" s="171">
        <v>10493.6</v>
      </c>
      <c r="I10" s="105">
        <v>2821.5</v>
      </c>
      <c r="J10" s="105">
        <v>2721.4</v>
      </c>
      <c r="K10" s="105">
        <v>2537.8000000000002</v>
      </c>
      <c r="L10" s="48">
        <v>2683.4</v>
      </c>
      <c r="M10" s="49">
        <f t="shared" ref="M10:M13" si="3">SUM(I10:L10)</f>
        <v>10764.1</v>
      </c>
      <c r="N10" s="48">
        <v>2867.3</v>
      </c>
      <c r="O10" s="105">
        <v>2823.3</v>
      </c>
      <c r="P10" s="105">
        <v>2966.9</v>
      </c>
      <c r="Q10" s="105">
        <v>3273.4</v>
      </c>
      <c r="R10" s="171">
        <f t="shared" ref="R10:R13" si="4">SUM(N10:Q10)</f>
        <v>11930.9</v>
      </c>
      <c r="S10" s="48">
        <v>3400</v>
      </c>
      <c r="T10" s="48">
        <v>3314.7</v>
      </c>
      <c r="U10" s="48">
        <v>3302.5</v>
      </c>
      <c r="V10" s="48"/>
      <c r="W10" s="171"/>
      <c r="X10" s="48"/>
      <c r="Y10" s="48"/>
      <c r="Z10" s="48"/>
      <c r="AA10" s="48"/>
      <c r="AB10" s="49"/>
      <c r="AC10" s="48"/>
      <c r="AD10" s="48"/>
      <c r="AE10" s="48"/>
      <c r="AF10" s="48"/>
      <c r="AG10" s="49"/>
      <c r="AH10" s="48"/>
      <c r="AI10" s="48"/>
      <c r="AJ10" s="48"/>
      <c r="AK10" s="48"/>
      <c r="AL10" s="49"/>
      <c r="AM10" s="48"/>
      <c r="AN10" s="48"/>
      <c r="AO10" s="48"/>
      <c r="AP10" s="48"/>
      <c r="AQ10" s="49"/>
      <c r="AR10" s="48"/>
      <c r="AS10" s="48"/>
      <c r="AT10" s="48"/>
      <c r="AU10" s="48"/>
      <c r="AV10" s="49"/>
    </row>
    <row r="11" spans="1:48" outlineLevel="1" x14ac:dyDescent="0.3">
      <c r="B11" s="38" t="s">
        <v>33</v>
      </c>
      <c r="C11" s="18"/>
      <c r="D11" s="105">
        <v>97.6</v>
      </c>
      <c r="E11" s="105">
        <v>87.1</v>
      </c>
      <c r="F11" s="105">
        <v>94.4</v>
      </c>
      <c r="G11" s="105">
        <f t="shared" si="0"/>
        <v>91.900000000000034</v>
      </c>
      <c r="H11" s="171">
        <v>371</v>
      </c>
      <c r="I11" s="105">
        <v>101.8</v>
      </c>
      <c r="J11" s="105">
        <v>95</v>
      </c>
      <c r="K11" s="105">
        <v>133.6</v>
      </c>
      <c r="L11" s="48">
        <v>99.9</v>
      </c>
      <c r="M11" s="49">
        <f t="shared" si="3"/>
        <v>430.29999999999995</v>
      </c>
      <c r="N11" s="48">
        <v>91.8</v>
      </c>
      <c r="O11" s="105">
        <v>87.7</v>
      </c>
      <c r="P11" s="105">
        <v>71.400000000000006</v>
      </c>
      <c r="Q11" s="105">
        <v>108.6</v>
      </c>
      <c r="R11" s="171">
        <f t="shared" si="4"/>
        <v>359.5</v>
      </c>
      <c r="S11" s="48">
        <v>101.7</v>
      </c>
      <c r="T11" s="48">
        <v>101.7</v>
      </c>
      <c r="U11" s="48">
        <v>135.1</v>
      </c>
      <c r="V11" s="48"/>
      <c r="W11" s="171"/>
      <c r="X11" s="48"/>
      <c r="Y11" s="48"/>
      <c r="Z11" s="48"/>
      <c r="AA11" s="48"/>
      <c r="AB11" s="49"/>
      <c r="AC11" s="48"/>
      <c r="AD11" s="48"/>
      <c r="AE11" s="48"/>
      <c r="AF11" s="48"/>
      <c r="AG11" s="49"/>
      <c r="AH11" s="48"/>
      <c r="AI11" s="48"/>
      <c r="AJ11" s="48"/>
      <c r="AK11" s="48"/>
      <c r="AL11" s="49"/>
      <c r="AM11" s="48"/>
      <c r="AN11" s="48"/>
      <c r="AO11" s="48"/>
      <c r="AP11" s="48"/>
      <c r="AQ11" s="49"/>
      <c r="AR11" s="48"/>
      <c r="AS11" s="48"/>
      <c r="AT11" s="48"/>
      <c r="AU11" s="48"/>
      <c r="AV11" s="49"/>
    </row>
    <row r="12" spans="1:48" outlineLevel="1" x14ac:dyDescent="0.3">
      <c r="B12" s="38" t="s">
        <v>34</v>
      </c>
      <c r="C12" s="18"/>
      <c r="D12" s="105">
        <v>333.4</v>
      </c>
      <c r="E12" s="105">
        <v>356.2</v>
      </c>
      <c r="F12" s="105">
        <v>343.1</v>
      </c>
      <c r="G12" s="105">
        <f t="shared" si="0"/>
        <v>344.5999999999998</v>
      </c>
      <c r="H12" s="171">
        <v>1377.3</v>
      </c>
      <c r="I12" s="105">
        <v>351</v>
      </c>
      <c r="J12" s="105">
        <v>356.3</v>
      </c>
      <c r="K12" s="105">
        <v>361</v>
      </c>
      <c r="L12" s="48">
        <v>362.9</v>
      </c>
      <c r="M12" s="49">
        <f t="shared" ref="M12" si="5">SUM(I12:L12)</f>
        <v>1431.1999999999998</v>
      </c>
      <c r="N12" s="48">
        <v>366.1</v>
      </c>
      <c r="O12" s="105">
        <v>366.7</v>
      </c>
      <c r="P12" s="105">
        <v>354.3</v>
      </c>
      <c r="Q12" s="105">
        <v>354.7</v>
      </c>
      <c r="R12" s="171">
        <f t="shared" ref="R12" si="6">SUM(N12:Q12)</f>
        <v>1441.8</v>
      </c>
      <c r="S12" s="48">
        <v>366</v>
      </c>
      <c r="T12" s="48">
        <v>367.7</v>
      </c>
      <c r="U12" s="48">
        <v>356.8</v>
      </c>
      <c r="V12" s="48"/>
      <c r="W12" s="171"/>
      <c r="X12" s="48"/>
      <c r="Y12" s="48"/>
      <c r="Z12" s="48"/>
      <c r="AA12" s="48"/>
      <c r="AB12" s="49"/>
      <c r="AC12" s="48"/>
      <c r="AD12" s="48"/>
      <c r="AE12" s="48"/>
      <c r="AF12" s="48"/>
      <c r="AG12" s="49"/>
      <c r="AH12" s="48"/>
      <c r="AI12" s="48"/>
      <c r="AJ12" s="48"/>
      <c r="AK12" s="48"/>
      <c r="AL12" s="49"/>
      <c r="AM12" s="48"/>
      <c r="AN12" s="48"/>
      <c r="AO12" s="48"/>
      <c r="AP12" s="48"/>
      <c r="AQ12" s="49"/>
      <c r="AR12" s="48"/>
      <c r="AS12" s="48"/>
      <c r="AT12" s="48"/>
      <c r="AU12" s="48"/>
      <c r="AV12" s="49"/>
    </row>
    <row r="13" spans="1:48" ht="17.25" customHeight="1" outlineLevel="1" x14ac:dyDescent="0.3">
      <c r="B13" s="38" t="s">
        <v>83</v>
      </c>
      <c r="C13" s="18"/>
      <c r="D13" s="105">
        <v>448</v>
      </c>
      <c r="E13" s="105">
        <v>458.1</v>
      </c>
      <c r="F13" s="105">
        <v>459.7</v>
      </c>
      <c r="G13" s="105">
        <f t="shared" si="0"/>
        <v>458.29999999999984</v>
      </c>
      <c r="H13" s="171">
        <v>1824.1</v>
      </c>
      <c r="I13" s="105">
        <v>434.2</v>
      </c>
      <c r="J13" s="105">
        <v>406.5</v>
      </c>
      <c r="K13" s="105">
        <v>399.9</v>
      </c>
      <c r="L13" s="48">
        <v>439</v>
      </c>
      <c r="M13" s="171">
        <f t="shared" si="3"/>
        <v>1679.6</v>
      </c>
      <c r="N13" s="48">
        <v>472.1</v>
      </c>
      <c r="O13" s="105">
        <v>464.4</v>
      </c>
      <c r="P13" s="105">
        <v>494.9</v>
      </c>
      <c r="Q13" s="105">
        <v>501.2</v>
      </c>
      <c r="R13" s="171">
        <f t="shared" si="4"/>
        <v>1932.6000000000001</v>
      </c>
      <c r="S13" s="48">
        <v>525.79999999999995</v>
      </c>
      <c r="T13" s="48">
        <v>481.5</v>
      </c>
      <c r="U13" s="48">
        <v>486.7</v>
      </c>
      <c r="V13" s="48"/>
      <c r="W13" s="171"/>
      <c r="X13" s="48"/>
      <c r="Y13" s="48"/>
      <c r="Z13" s="48"/>
      <c r="AA13" s="48"/>
      <c r="AB13" s="49"/>
      <c r="AC13" s="48"/>
      <c r="AD13" s="48"/>
      <c r="AE13" s="48"/>
      <c r="AF13" s="48"/>
      <c r="AG13" s="49"/>
      <c r="AH13" s="48"/>
      <c r="AI13" s="48"/>
      <c r="AJ13" s="48"/>
      <c r="AK13" s="48"/>
      <c r="AL13" s="49"/>
      <c r="AM13" s="48"/>
      <c r="AN13" s="48"/>
      <c r="AO13" s="48"/>
      <c r="AP13" s="48"/>
      <c r="AQ13" s="49"/>
      <c r="AR13" s="48"/>
      <c r="AS13" s="48"/>
      <c r="AT13" s="48"/>
      <c r="AU13" s="48"/>
      <c r="AV13" s="49"/>
    </row>
    <row r="14" spans="1:48" ht="17.25" customHeight="1" outlineLevel="1" x14ac:dyDescent="0.45">
      <c r="B14" s="38" t="s">
        <v>42</v>
      </c>
      <c r="C14" s="18"/>
      <c r="D14" s="104">
        <v>43.2</v>
      </c>
      <c r="E14" s="104">
        <v>43</v>
      </c>
      <c r="F14" s="104">
        <v>37.700000000000003</v>
      </c>
      <c r="G14" s="104">
        <f t="shared" si="0"/>
        <v>11.900000000000006</v>
      </c>
      <c r="H14" s="174">
        <v>135.80000000000001</v>
      </c>
      <c r="I14" s="104">
        <v>6.3</v>
      </c>
      <c r="J14" s="104">
        <v>-0.7</v>
      </c>
      <c r="K14" s="104">
        <v>78.099999999999994</v>
      </c>
      <c r="L14" s="104">
        <v>195</v>
      </c>
      <c r="M14" s="53">
        <f t="shared" ref="M14" si="7">SUM(I14:L14)</f>
        <v>278.7</v>
      </c>
      <c r="N14" s="52">
        <v>72.2</v>
      </c>
      <c r="O14" s="104">
        <v>23</v>
      </c>
      <c r="P14" s="104">
        <v>19.8</v>
      </c>
      <c r="Q14" s="104">
        <v>55.5</v>
      </c>
      <c r="R14" s="174">
        <f t="shared" ref="R14" si="8">SUM(N14:Q14)</f>
        <v>170.5</v>
      </c>
      <c r="S14" s="52">
        <v>-7.5</v>
      </c>
      <c r="T14" s="52">
        <v>4.4000000000000004</v>
      </c>
      <c r="U14" s="52">
        <v>14</v>
      </c>
      <c r="V14" s="52"/>
      <c r="W14" s="174"/>
      <c r="X14" s="52"/>
      <c r="Y14" s="52"/>
      <c r="Z14" s="52"/>
      <c r="AA14" s="52"/>
      <c r="AB14" s="53"/>
      <c r="AC14" s="52"/>
      <c r="AD14" s="52"/>
      <c r="AE14" s="52"/>
      <c r="AF14" s="52"/>
      <c r="AG14" s="53"/>
      <c r="AH14" s="52"/>
      <c r="AI14" s="52"/>
      <c r="AJ14" s="52"/>
      <c r="AK14" s="52"/>
      <c r="AL14" s="53"/>
      <c r="AM14" s="52"/>
      <c r="AN14" s="52"/>
      <c r="AO14" s="52"/>
      <c r="AP14" s="52"/>
      <c r="AQ14" s="53"/>
      <c r="AR14" s="52"/>
      <c r="AS14" s="52"/>
      <c r="AT14" s="52"/>
      <c r="AU14" s="52"/>
      <c r="AV14" s="53"/>
    </row>
    <row r="15" spans="1:48" s="20" customFormat="1" ht="17.25" customHeight="1" x14ac:dyDescent="0.45">
      <c r="B15" s="46" t="s">
        <v>8</v>
      </c>
      <c r="C15" s="19"/>
      <c r="D15" s="106">
        <f t="shared" ref="D15:AL15" si="9">SUM(D10:D14)+D9</f>
        <v>5684.8</v>
      </c>
      <c r="E15" s="106">
        <f t="shared" si="9"/>
        <v>5510.5</v>
      </c>
      <c r="F15" s="106">
        <f t="shared" si="9"/>
        <v>5777.6999999999989</v>
      </c>
      <c r="G15" s="106">
        <f t="shared" si="9"/>
        <v>5755.7</v>
      </c>
      <c r="H15" s="176">
        <f t="shared" si="9"/>
        <v>22728.699999999997</v>
      </c>
      <c r="I15" s="106">
        <f t="shared" si="9"/>
        <v>5951.2000000000007</v>
      </c>
      <c r="J15" s="106">
        <f t="shared" si="9"/>
        <v>5576.2000000000007</v>
      </c>
      <c r="K15" s="106">
        <f t="shared" si="9"/>
        <v>4994.3999999999996</v>
      </c>
      <c r="L15" s="54">
        <f t="shared" si="9"/>
        <v>5757</v>
      </c>
      <c r="M15" s="55">
        <f t="shared" si="9"/>
        <v>22278.799999999999</v>
      </c>
      <c r="N15" s="54">
        <f t="shared" si="9"/>
        <v>5918.6</v>
      </c>
      <c r="O15" s="106">
        <f t="shared" si="9"/>
        <v>5757.5</v>
      </c>
      <c r="P15" s="106">
        <f>SUM(P10:P14)+P9</f>
        <v>6113.3000000000011</v>
      </c>
      <c r="Q15" s="106">
        <f>SUM(Q10:Q14)+Q9</f>
        <v>6784.5</v>
      </c>
      <c r="R15" s="176">
        <f t="shared" si="9"/>
        <v>24573.9</v>
      </c>
      <c r="S15" s="54">
        <f t="shared" si="9"/>
        <v>6912.9</v>
      </c>
      <c r="T15" s="54">
        <f t="shared" si="9"/>
        <v>6735.7999999999993</v>
      </c>
      <c r="U15" s="54">
        <f t="shared" si="9"/>
        <v>6908.7000000000007</v>
      </c>
      <c r="V15" s="54"/>
      <c r="W15" s="176"/>
      <c r="X15" s="54"/>
      <c r="Y15" s="54"/>
      <c r="Z15" s="54"/>
      <c r="AA15" s="54"/>
      <c r="AB15" s="55"/>
      <c r="AC15" s="54"/>
      <c r="AD15" s="54"/>
      <c r="AE15" s="54"/>
      <c r="AF15" s="54"/>
      <c r="AG15" s="55"/>
      <c r="AH15" s="54"/>
      <c r="AI15" s="54"/>
      <c r="AJ15" s="54"/>
      <c r="AK15" s="54"/>
      <c r="AL15" s="55"/>
      <c r="AM15" s="54"/>
      <c r="AN15" s="54"/>
      <c r="AO15" s="54"/>
      <c r="AP15" s="54"/>
      <c r="AQ15" s="55"/>
      <c r="AR15" s="54"/>
      <c r="AS15" s="54"/>
      <c r="AT15" s="54"/>
      <c r="AU15" s="54"/>
      <c r="AV15" s="55"/>
    </row>
    <row r="16" spans="1:48" s="23" customFormat="1" ht="17.25" customHeight="1" x14ac:dyDescent="0.45">
      <c r="B16" s="398" t="s">
        <v>36</v>
      </c>
      <c r="C16" s="399"/>
      <c r="D16" s="104">
        <v>67.8</v>
      </c>
      <c r="E16" s="104">
        <v>62.3</v>
      </c>
      <c r="F16" s="104">
        <v>76</v>
      </c>
      <c r="G16" s="104">
        <f t="shared" si="0"/>
        <v>91.899999999999991</v>
      </c>
      <c r="H16" s="174">
        <v>298</v>
      </c>
      <c r="I16" s="104">
        <v>73.900000000000006</v>
      </c>
      <c r="J16" s="104">
        <v>67.900000000000006</v>
      </c>
      <c r="K16" s="104">
        <v>68.400000000000006</v>
      </c>
      <c r="L16" s="52">
        <v>112.2</v>
      </c>
      <c r="M16" s="53">
        <f t="shared" ref="M16" si="10">SUM(I16:L16)</f>
        <v>322.40000000000003</v>
      </c>
      <c r="N16" s="52">
        <v>82.7</v>
      </c>
      <c r="O16" s="104">
        <v>77.099999999999994</v>
      </c>
      <c r="P16" s="104">
        <v>105.5</v>
      </c>
      <c r="Q16" s="104">
        <v>120</v>
      </c>
      <c r="R16" s="174">
        <f t="shared" ref="R16" si="11">SUM(N16:Q16)</f>
        <v>385.3</v>
      </c>
      <c r="S16" s="52">
        <v>40.299999999999997</v>
      </c>
      <c r="T16" s="52">
        <v>49.1</v>
      </c>
      <c r="U16" s="52">
        <v>54.1</v>
      </c>
      <c r="V16" s="52"/>
      <c r="W16" s="174"/>
      <c r="X16" s="52"/>
      <c r="Y16" s="52"/>
      <c r="Z16" s="52"/>
      <c r="AA16" s="52"/>
      <c r="AB16" s="53"/>
      <c r="AC16" s="52"/>
      <c r="AD16" s="52"/>
      <c r="AE16" s="52"/>
      <c r="AF16" s="52"/>
      <c r="AG16" s="53"/>
      <c r="AH16" s="52"/>
      <c r="AI16" s="52"/>
      <c r="AJ16" s="52"/>
      <c r="AK16" s="52"/>
      <c r="AL16" s="53"/>
      <c r="AM16" s="52"/>
      <c r="AN16" s="52"/>
      <c r="AO16" s="52"/>
      <c r="AP16" s="52"/>
      <c r="AQ16" s="53"/>
      <c r="AR16" s="52"/>
      <c r="AS16" s="52"/>
      <c r="AT16" s="52"/>
      <c r="AU16" s="52"/>
      <c r="AV16" s="53"/>
    </row>
    <row r="17" spans="1:48" x14ac:dyDescent="0.3">
      <c r="B17" s="136" t="s">
        <v>10</v>
      </c>
      <c r="C17" s="137"/>
      <c r="D17" s="103">
        <f t="shared" ref="D17:AQ17" si="12">D8-D15+D16</f>
        <v>1015.7000000000005</v>
      </c>
      <c r="E17" s="103">
        <f t="shared" si="12"/>
        <v>857.69999999999959</v>
      </c>
      <c r="F17" s="103">
        <f t="shared" si="12"/>
        <v>1121.3000000000011</v>
      </c>
      <c r="G17" s="103">
        <f t="shared" si="12"/>
        <v>1083.2000000000012</v>
      </c>
      <c r="H17" s="172">
        <f t="shared" si="12"/>
        <v>4077.9000000000051</v>
      </c>
      <c r="I17" s="103">
        <f t="shared" si="12"/>
        <v>1219.7999999999988</v>
      </c>
      <c r="J17" s="103">
        <f t="shared" si="12"/>
        <v>487.39999999999907</v>
      </c>
      <c r="K17" s="103">
        <f t="shared" si="12"/>
        <v>-703.8999999999993</v>
      </c>
      <c r="L17" s="50">
        <f t="shared" si="12"/>
        <v>558.30000000000041</v>
      </c>
      <c r="M17" s="51">
        <f t="shared" si="12"/>
        <v>1561.6000000000045</v>
      </c>
      <c r="N17" s="50">
        <f t="shared" si="12"/>
        <v>913.50000000000023</v>
      </c>
      <c r="O17" s="103">
        <f t="shared" si="12"/>
        <v>987.6</v>
      </c>
      <c r="P17" s="103">
        <f>P8-P15+P16</f>
        <v>1488.6999999999989</v>
      </c>
      <c r="Q17" s="103">
        <f>Q8-Q15+Q16</f>
        <v>1482.1999999999998</v>
      </c>
      <c r="R17" s="172">
        <f t="shared" si="12"/>
        <v>4871.9999999999973</v>
      </c>
      <c r="S17" s="50">
        <f t="shared" si="12"/>
        <v>1177.8</v>
      </c>
      <c r="T17" s="50">
        <f t="shared" si="12"/>
        <v>948.9000000000002</v>
      </c>
      <c r="U17" s="50">
        <f t="shared" si="12"/>
        <v>1295.4999999999995</v>
      </c>
      <c r="V17" s="50"/>
      <c r="W17" s="172"/>
      <c r="X17" s="50"/>
      <c r="Y17" s="50"/>
      <c r="Z17" s="50"/>
      <c r="AA17" s="50"/>
      <c r="AB17" s="51"/>
      <c r="AC17" s="50"/>
      <c r="AD17" s="50"/>
      <c r="AE17" s="50"/>
      <c r="AF17" s="50"/>
      <c r="AG17" s="51"/>
      <c r="AH17" s="50"/>
      <c r="AI17" s="50"/>
      <c r="AJ17" s="50"/>
      <c r="AK17" s="50"/>
      <c r="AL17" s="51"/>
      <c r="AM17" s="50"/>
      <c r="AN17" s="50"/>
      <c r="AO17" s="50"/>
      <c r="AP17" s="50"/>
      <c r="AQ17" s="51"/>
      <c r="AR17" s="50"/>
      <c r="AS17" s="50"/>
      <c r="AT17" s="50"/>
      <c r="AU17" s="50"/>
      <c r="AV17" s="51"/>
    </row>
    <row r="18" spans="1:48" ht="16.2" x14ac:dyDescent="0.45">
      <c r="B18" s="124" t="s">
        <v>70</v>
      </c>
      <c r="C18" s="88"/>
      <c r="D18" s="107">
        <f>+D170</f>
        <v>138</v>
      </c>
      <c r="E18" s="107">
        <f>+E170</f>
        <v>141.4</v>
      </c>
      <c r="F18" s="107">
        <f>+F170</f>
        <v>125.30000000000001</v>
      </c>
      <c r="G18" s="107">
        <f>+G170</f>
        <v>77.399999999999991</v>
      </c>
      <c r="H18" s="177">
        <f>SUM(D18:G18)</f>
        <v>482.09999999999997</v>
      </c>
      <c r="I18" s="107">
        <f>+I170</f>
        <v>71.599999999999994</v>
      </c>
      <c r="J18" s="107">
        <f>+J170</f>
        <v>66.8</v>
      </c>
      <c r="K18" s="107">
        <f>+K170</f>
        <v>173.67999999999998</v>
      </c>
      <c r="L18" s="89">
        <f>+L170</f>
        <v>259.5</v>
      </c>
      <c r="M18" s="90">
        <f>SUM(I18:L18)</f>
        <v>571.57999999999993</v>
      </c>
      <c r="N18" s="107">
        <f>+N170</f>
        <v>134.9</v>
      </c>
      <c r="O18" s="107">
        <f>+O170</f>
        <v>88.2</v>
      </c>
      <c r="P18" s="107">
        <f>+P170</f>
        <v>51.7</v>
      </c>
      <c r="Q18" s="107">
        <f>+Q170</f>
        <v>115.2</v>
      </c>
      <c r="R18" s="177">
        <f>SUM(N18:Q18)</f>
        <v>390</v>
      </c>
      <c r="S18" s="89">
        <f>+S170</f>
        <v>35.199999999999996</v>
      </c>
      <c r="T18" s="89">
        <f>+T170</f>
        <v>47.5</v>
      </c>
      <c r="U18" s="89">
        <f>+U170</f>
        <v>77.5</v>
      </c>
      <c r="V18" s="89"/>
      <c r="W18" s="177"/>
      <c r="X18" s="89"/>
      <c r="Y18" s="89"/>
      <c r="Z18" s="89"/>
      <c r="AA18" s="89"/>
      <c r="AB18" s="90"/>
      <c r="AC18" s="89"/>
      <c r="AD18" s="89"/>
      <c r="AE18" s="89"/>
      <c r="AF18" s="89"/>
      <c r="AG18" s="90"/>
      <c r="AH18" s="89"/>
      <c r="AI18" s="89"/>
      <c r="AJ18" s="89"/>
      <c r="AK18" s="89"/>
      <c r="AL18" s="90"/>
      <c r="AM18" s="89"/>
      <c r="AN18" s="89"/>
      <c r="AO18" s="89"/>
      <c r="AP18" s="89"/>
      <c r="AQ18" s="90"/>
      <c r="AR18" s="89"/>
      <c r="AS18" s="89"/>
      <c r="AT18" s="89"/>
      <c r="AU18" s="89"/>
      <c r="AV18" s="90"/>
    </row>
    <row r="19" spans="1:48" x14ac:dyDescent="0.3">
      <c r="B19" s="125" t="s">
        <v>71</v>
      </c>
      <c r="C19" s="79"/>
      <c r="D19" s="108">
        <f t="shared" ref="D19:AQ19" si="13">+D17+D18</f>
        <v>1153.7000000000005</v>
      </c>
      <c r="E19" s="108">
        <f t="shared" si="13"/>
        <v>999.09999999999957</v>
      </c>
      <c r="F19" s="108">
        <f t="shared" si="13"/>
        <v>1246.600000000001</v>
      </c>
      <c r="G19" s="108">
        <f t="shared" si="13"/>
        <v>1160.6000000000013</v>
      </c>
      <c r="H19" s="178">
        <f t="shared" si="13"/>
        <v>4560.0000000000055</v>
      </c>
      <c r="I19" s="108">
        <f t="shared" si="13"/>
        <v>1291.3999999999987</v>
      </c>
      <c r="J19" s="108">
        <f t="shared" si="13"/>
        <v>554.19999999999902</v>
      </c>
      <c r="K19" s="108">
        <f t="shared" si="13"/>
        <v>-530.21999999999935</v>
      </c>
      <c r="L19" s="80">
        <f t="shared" si="13"/>
        <v>817.80000000000041</v>
      </c>
      <c r="M19" s="81">
        <f t="shared" si="13"/>
        <v>2133.1800000000044</v>
      </c>
      <c r="N19" s="108">
        <f t="shared" si="13"/>
        <v>1048.4000000000003</v>
      </c>
      <c r="O19" s="108">
        <f t="shared" si="13"/>
        <v>1075.8</v>
      </c>
      <c r="P19" s="108">
        <f t="shared" si="13"/>
        <v>1540.399999999999</v>
      </c>
      <c r="Q19" s="108">
        <f t="shared" si="13"/>
        <v>1597.3999999999999</v>
      </c>
      <c r="R19" s="178">
        <f t="shared" si="13"/>
        <v>5261.9999999999973</v>
      </c>
      <c r="S19" s="80">
        <f t="shared" si="13"/>
        <v>1213</v>
      </c>
      <c r="T19" s="80">
        <f t="shared" si="13"/>
        <v>996.4000000000002</v>
      </c>
      <c r="U19" s="80">
        <f t="shared" si="13"/>
        <v>1372.9999999999995</v>
      </c>
      <c r="V19" s="80"/>
      <c r="W19" s="178"/>
      <c r="X19" s="80"/>
      <c r="Y19" s="80"/>
      <c r="Z19" s="80"/>
      <c r="AA19" s="80"/>
      <c r="AB19" s="81"/>
      <c r="AC19" s="80"/>
      <c r="AD19" s="80"/>
      <c r="AE19" s="80"/>
      <c r="AF19" s="80"/>
      <c r="AG19" s="81"/>
      <c r="AH19" s="80"/>
      <c r="AI19" s="80"/>
      <c r="AJ19" s="80"/>
      <c r="AK19" s="80"/>
      <c r="AL19" s="81"/>
      <c r="AM19" s="80"/>
      <c r="AN19" s="80"/>
      <c r="AO19" s="80"/>
      <c r="AP19" s="80"/>
      <c r="AQ19" s="81"/>
      <c r="AR19" s="80"/>
      <c r="AS19" s="80"/>
      <c r="AT19" s="80"/>
      <c r="AU19" s="80"/>
      <c r="AV19" s="81"/>
    </row>
    <row r="20" spans="1:48" x14ac:dyDescent="0.3">
      <c r="B20" s="38" t="s">
        <v>63</v>
      </c>
      <c r="C20" s="18"/>
      <c r="D20" s="105">
        <v>0</v>
      </c>
      <c r="E20" s="105">
        <v>21</v>
      </c>
      <c r="F20" s="105">
        <v>601.79999999999995</v>
      </c>
      <c r="G20" s="105">
        <f t="shared" ref="G20:G22" si="14">H20-F20-E20-D20</f>
        <v>0</v>
      </c>
      <c r="H20" s="171">
        <v>622.79999999999995</v>
      </c>
      <c r="I20" s="105">
        <v>0</v>
      </c>
      <c r="J20" s="105">
        <v>0</v>
      </c>
      <c r="K20" s="105">
        <v>0</v>
      </c>
      <c r="L20" s="105">
        <v>0</v>
      </c>
      <c r="M20" s="171">
        <f>SUM(I20:L20)</f>
        <v>0</v>
      </c>
      <c r="N20" s="105">
        <v>0</v>
      </c>
      <c r="O20" s="105">
        <v>0</v>
      </c>
      <c r="P20" s="105">
        <v>0</v>
      </c>
      <c r="Q20" s="105">
        <v>864.5</v>
      </c>
      <c r="R20" s="171">
        <f>SUM(N20:Q20)</f>
        <v>864.5</v>
      </c>
      <c r="S20" s="105">
        <v>0</v>
      </c>
      <c r="T20" s="105">
        <v>0</v>
      </c>
      <c r="U20" s="105">
        <v>0</v>
      </c>
      <c r="V20" s="105"/>
      <c r="W20" s="171"/>
      <c r="X20" s="105"/>
      <c r="Y20" s="105"/>
      <c r="Z20" s="105"/>
      <c r="AA20" s="105"/>
      <c r="AB20" s="171"/>
      <c r="AC20" s="105"/>
      <c r="AD20" s="105"/>
      <c r="AE20" s="105"/>
      <c r="AF20" s="105"/>
      <c r="AG20" s="171"/>
      <c r="AH20" s="105"/>
      <c r="AI20" s="105"/>
      <c r="AJ20" s="105"/>
      <c r="AK20" s="105"/>
      <c r="AL20" s="171"/>
      <c r="AM20" s="105"/>
      <c r="AN20" s="105"/>
      <c r="AO20" s="105"/>
      <c r="AP20" s="105"/>
      <c r="AQ20" s="171"/>
      <c r="AR20" s="105"/>
      <c r="AS20" s="105"/>
      <c r="AT20" s="105"/>
      <c r="AU20" s="105"/>
      <c r="AV20" s="171"/>
    </row>
    <row r="21" spans="1:48" x14ac:dyDescent="0.3">
      <c r="B21" s="38" t="s">
        <v>37</v>
      </c>
      <c r="C21" s="18"/>
      <c r="D21" s="105">
        <v>24.8</v>
      </c>
      <c r="E21" s="105">
        <v>15.2</v>
      </c>
      <c r="F21" s="102">
        <v>40.200000000000003</v>
      </c>
      <c r="G21" s="105">
        <f t="shared" si="14"/>
        <v>16.299999999999994</v>
      </c>
      <c r="H21" s="171">
        <v>96.5</v>
      </c>
      <c r="I21" s="105">
        <v>15.9</v>
      </c>
      <c r="J21" s="105">
        <v>2</v>
      </c>
      <c r="K21" s="105">
        <v>12.7</v>
      </c>
      <c r="L21" s="105">
        <v>9.1</v>
      </c>
      <c r="M21" s="171">
        <f t="shared" ref="M21:M22" si="15">SUM(I21:L21)</f>
        <v>39.699999999999996</v>
      </c>
      <c r="N21" s="105">
        <v>15.5</v>
      </c>
      <c r="O21" s="105">
        <v>17.3</v>
      </c>
      <c r="P21" s="105">
        <v>36</v>
      </c>
      <c r="Q21" s="105">
        <v>21.5</v>
      </c>
      <c r="R21" s="171">
        <f t="shared" ref="R21" si="16">SUM(N21:Q21)</f>
        <v>90.3</v>
      </c>
      <c r="S21" s="105">
        <v>-0.1</v>
      </c>
      <c r="T21" s="105">
        <v>46.3</v>
      </c>
      <c r="U21" s="105">
        <v>19.8</v>
      </c>
      <c r="V21" s="105"/>
      <c r="W21" s="171"/>
      <c r="X21" s="105"/>
      <c r="Y21" s="105"/>
      <c r="Z21" s="105"/>
      <c r="AA21" s="105"/>
      <c r="AB21" s="171"/>
      <c r="AC21" s="105"/>
      <c r="AD21" s="105"/>
      <c r="AE21" s="105"/>
      <c r="AF21" s="105"/>
      <c r="AG21" s="171"/>
      <c r="AH21" s="105"/>
      <c r="AI21" s="105"/>
      <c r="AJ21" s="105"/>
      <c r="AK21" s="105"/>
      <c r="AL21" s="171"/>
      <c r="AM21" s="105"/>
      <c r="AN21" s="105"/>
      <c r="AO21" s="105"/>
      <c r="AP21" s="105"/>
      <c r="AQ21" s="171"/>
      <c r="AR21" s="105"/>
      <c r="AS21" s="105"/>
      <c r="AT21" s="105"/>
      <c r="AU21" s="105"/>
      <c r="AV21" s="171"/>
    </row>
    <row r="22" spans="1:48" ht="16.2" x14ac:dyDescent="0.45">
      <c r="B22" s="38" t="s">
        <v>38</v>
      </c>
      <c r="C22" s="382"/>
      <c r="D22" s="104">
        <v>-75</v>
      </c>
      <c r="E22" s="104">
        <v>-73.900000000000006</v>
      </c>
      <c r="F22" s="104">
        <v>-86.4</v>
      </c>
      <c r="G22" s="104">
        <f t="shared" si="14"/>
        <v>-95.699999999999989</v>
      </c>
      <c r="H22" s="174">
        <v>-331</v>
      </c>
      <c r="I22" s="104">
        <v>-91.9</v>
      </c>
      <c r="J22" s="104">
        <v>-99.2</v>
      </c>
      <c r="K22" s="104">
        <v>-120.8</v>
      </c>
      <c r="L22" s="104">
        <v>-125</v>
      </c>
      <c r="M22" s="174">
        <f t="shared" si="15"/>
        <v>-436.90000000000003</v>
      </c>
      <c r="N22" s="104">
        <v>-120.7</v>
      </c>
      <c r="O22" s="104">
        <v>-115</v>
      </c>
      <c r="P22" s="104">
        <v>-113.4</v>
      </c>
      <c r="Q22" s="104">
        <v>-120.6</v>
      </c>
      <c r="R22" s="174">
        <f t="shared" ref="R22" si="17">SUM(N22:Q22)</f>
        <v>-469.70000000000005</v>
      </c>
      <c r="S22" s="104">
        <v>-115.3</v>
      </c>
      <c r="T22" s="104">
        <v>-119.1</v>
      </c>
      <c r="U22" s="104">
        <v>-123.1</v>
      </c>
      <c r="V22" s="104"/>
      <c r="W22" s="174"/>
      <c r="X22" s="104"/>
      <c r="Y22" s="104"/>
      <c r="Z22" s="104"/>
      <c r="AA22" s="104"/>
      <c r="AB22" s="174"/>
      <c r="AC22" s="104"/>
      <c r="AD22" s="104"/>
      <c r="AE22" s="104"/>
      <c r="AF22" s="104"/>
      <c r="AG22" s="174"/>
      <c r="AH22" s="104"/>
      <c r="AI22" s="104"/>
      <c r="AJ22" s="104"/>
      <c r="AK22" s="104"/>
      <c r="AL22" s="174"/>
      <c r="AM22" s="104"/>
      <c r="AN22" s="104"/>
      <c r="AO22" s="104"/>
      <c r="AP22" s="104"/>
      <c r="AQ22" s="174"/>
      <c r="AR22" s="104"/>
      <c r="AS22" s="104"/>
      <c r="AT22" s="104"/>
      <c r="AU22" s="104"/>
      <c r="AV22" s="174"/>
    </row>
    <row r="23" spans="1:48" x14ac:dyDescent="0.3">
      <c r="B23" s="400" t="s">
        <v>11</v>
      </c>
      <c r="C23" s="401"/>
      <c r="D23" s="103">
        <f t="shared" ref="D23:AQ23" si="18">D17+D21+D22+D20</f>
        <v>965.50000000000045</v>
      </c>
      <c r="E23" s="103">
        <f t="shared" si="18"/>
        <v>819.99999999999966</v>
      </c>
      <c r="F23" s="103">
        <f t="shared" si="18"/>
        <v>1676.900000000001</v>
      </c>
      <c r="G23" s="103">
        <f t="shared" si="18"/>
        <v>1003.8000000000011</v>
      </c>
      <c r="H23" s="172">
        <f t="shared" si="18"/>
        <v>4466.2000000000053</v>
      </c>
      <c r="I23" s="103">
        <f t="shared" si="18"/>
        <v>1143.7999999999988</v>
      </c>
      <c r="J23" s="103">
        <f t="shared" si="18"/>
        <v>390.19999999999908</v>
      </c>
      <c r="K23" s="103">
        <f t="shared" si="18"/>
        <v>-811.9999999999992</v>
      </c>
      <c r="L23" s="50">
        <f t="shared" si="18"/>
        <v>442.40000000000043</v>
      </c>
      <c r="M23" s="51">
        <f t="shared" si="18"/>
        <v>1164.4000000000044</v>
      </c>
      <c r="N23" s="50">
        <f t="shared" si="18"/>
        <v>808.30000000000018</v>
      </c>
      <c r="O23" s="103">
        <f t="shared" si="18"/>
        <v>889.9</v>
      </c>
      <c r="P23" s="103">
        <f t="shared" si="18"/>
        <v>1411.2999999999988</v>
      </c>
      <c r="Q23" s="103">
        <f>Q17+Q21+Q22+Q20</f>
        <v>2247.6</v>
      </c>
      <c r="R23" s="172">
        <f t="shared" si="18"/>
        <v>5357.0999999999976</v>
      </c>
      <c r="S23" s="50">
        <f t="shared" si="18"/>
        <v>1062.4000000000001</v>
      </c>
      <c r="T23" s="50">
        <f t="shared" si="18"/>
        <v>876.10000000000014</v>
      </c>
      <c r="U23" s="50">
        <f t="shared" si="18"/>
        <v>1192.1999999999996</v>
      </c>
      <c r="V23" s="50"/>
      <c r="W23" s="172"/>
      <c r="X23" s="50"/>
      <c r="Y23" s="50"/>
      <c r="Z23" s="50"/>
      <c r="AA23" s="50"/>
      <c r="AB23" s="51"/>
      <c r="AC23" s="50"/>
      <c r="AD23" s="50"/>
      <c r="AE23" s="50"/>
      <c r="AF23" s="50"/>
      <c r="AG23" s="51"/>
      <c r="AH23" s="50"/>
      <c r="AI23" s="50"/>
      <c r="AJ23" s="50"/>
      <c r="AK23" s="50"/>
      <c r="AL23" s="51"/>
      <c r="AM23" s="50"/>
      <c r="AN23" s="50"/>
      <c r="AO23" s="50"/>
      <c r="AP23" s="50"/>
      <c r="AQ23" s="51"/>
      <c r="AR23" s="50"/>
      <c r="AS23" s="50"/>
      <c r="AT23" s="50"/>
      <c r="AU23" s="50"/>
      <c r="AV23" s="51"/>
    </row>
    <row r="24" spans="1:48" ht="16.2" x14ac:dyDescent="0.45">
      <c r="B24" s="402" t="s">
        <v>5</v>
      </c>
      <c r="C24" s="403"/>
      <c r="D24" s="104">
        <v>205.1</v>
      </c>
      <c r="E24" s="104">
        <v>161.19999999999999</v>
      </c>
      <c r="F24" s="104">
        <v>303.7</v>
      </c>
      <c r="G24" s="104">
        <f t="shared" ref="G24" si="19">H24-F24-E24-D24</f>
        <v>201.60000000000011</v>
      </c>
      <c r="H24" s="174">
        <v>871.6</v>
      </c>
      <c r="I24" s="104">
        <v>258.5</v>
      </c>
      <c r="J24" s="104">
        <v>65.400000000000006</v>
      </c>
      <c r="K24" s="104">
        <v>-133.9</v>
      </c>
      <c r="L24" s="52">
        <v>49.7</v>
      </c>
      <c r="M24" s="53">
        <f>SUM(I24:L24)</f>
        <v>239.7</v>
      </c>
      <c r="N24" s="52">
        <v>186.1</v>
      </c>
      <c r="O24" s="104">
        <v>230.5</v>
      </c>
      <c r="P24" s="104">
        <v>257.10000000000002</v>
      </c>
      <c r="Q24" s="104">
        <v>483</v>
      </c>
      <c r="R24" s="174">
        <f>SUM(N24:Q24)</f>
        <v>1156.7</v>
      </c>
      <c r="S24" s="52">
        <v>246.3</v>
      </c>
      <c r="T24" s="52">
        <v>201.1</v>
      </c>
      <c r="U24" s="52">
        <v>278.5</v>
      </c>
      <c r="V24" s="52"/>
      <c r="W24" s="174"/>
      <c r="X24" s="52"/>
      <c r="Y24" s="52"/>
      <c r="Z24" s="52"/>
      <c r="AA24" s="52"/>
      <c r="AB24" s="53"/>
      <c r="AC24" s="52"/>
      <c r="AD24" s="52"/>
      <c r="AE24" s="52"/>
      <c r="AF24" s="52"/>
      <c r="AG24" s="53"/>
      <c r="AH24" s="52"/>
      <c r="AI24" s="52"/>
      <c r="AJ24" s="52"/>
      <c r="AK24" s="52"/>
      <c r="AL24" s="53"/>
      <c r="AM24" s="52"/>
      <c r="AN24" s="52"/>
      <c r="AO24" s="52"/>
      <c r="AP24" s="52"/>
      <c r="AQ24" s="53"/>
      <c r="AR24" s="52"/>
      <c r="AS24" s="52"/>
      <c r="AT24" s="52"/>
      <c r="AU24" s="52"/>
      <c r="AV24" s="53"/>
    </row>
    <row r="25" spans="1:48" x14ac:dyDescent="0.3">
      <c r="A25" s="23"/>
      <c r="B25" s="400" t="s">
        <v>39</v>
      </c>
      <c r="C25" s="401"/>
      <c r="D25" s="103">
        <f t="shared" ref="D25:AQ25" si="20">+D23-D24</f>
        <v>760.40000000000043</v>
      </c>
      <c r="E25" s="103">
        <f t="shared" si="20"/>
        <v>658.79999999999973</v>
      </c>
      <c r="F25" s="103">
        <f t="shared" si="20"/>
        <v>1373.200000000001</v>
      </c>
      <c r="G25" s="103">
        <f t="shared" si="20"/>
        <v>802.20000000000095</v>
      </c>
      <c r="H25" s="172">
        <f t="shared" si="20"/>
        <v>3594.6000000000054</v>
      </c>
      <c r="I25" s="103">
        <f t="shared" si="20"/>
        <v>885.29999999999882</v>
      </c>
      <c r="J25" s="103">
        <f t="shared" si="20"/>
        <v>324.79999999999905</v>
      </c>
      <c r="K25" s="103">
        <f t="shared" si="20"/>
        <v>-678.09999999999923</v>
      </c>
      <c r="L25" s="50">
        <f t="shared" si="20"/>
        <v>392.70000000000044</v>
      </c>
      <c r="M25" s="51">
        <f t="shared" si="20"/>
        <v>924.70000000000437</v>
      </c>
      <c r="N25" s="50">
        <f t="shared" si="20"/>
        <v>622.20000000000016</v>
      </c>
      <c r="O25" s="103">
        <f t="shared" si="20"/>
        <v>659.4</v>
      </c>
      <c r="P25" s="103">
        <f t="shared" si="20"/>
        <v>1154.1999999999989</v>
      </c>
      <c r="Q25" s="103">
        <f>+Q23-Q24</f>
        <v>1764.6</v>
      </c>
      <c r="R25" s="172">
        <f t="shared" si="20"/>
        <v>4200.3999999999978</v>
      </c>
      <c r="S25" s="50">
        <f t="shared" si="20"/>
        <v>816.10000000000014</v>
      </c>
      <c r="T25" s="50">
        <f t="shared" si="20"/>
        <v>675.00000000000011</v>
      </c>
      <c r="U25" s="50">
        <f t="shared" si="20"/>
        <v>913.69999999999959</v>
      </c>
      <c r="V25" s="50"/>
      <c r="W25" s="172"/>
      <c r="X25" s="50"/>
      <c r="Y25" s="50"/>
      <c r="Z25" s="50"/>
      <c r="AA25" s="50"/>
      <c r="AB25" s="51"/>
      <c r="AC25" s="50"/>
      <c r="AD25" s="50"/>
      <c r="AE25" s="50"/>
      <c r="AF25" s="103"/>
      <c r="AG25" s="172"/>
      <c r="AH25" s="103"/>
      <c r="AI25" s="103"/>
      <c r="AJ25" s="103"/>
      <c r="AK25" s="103"/>
      <c r="AL25" s="51"/>
      <c r="AM25" s="103"/>
      <c r="AN25" s="103"/>
      <c r="AO25" s="103"/>
      <c r="AP25" s="103"/>
      <c r="AQ25" s="51"/>
      <c r="AR25" s="103"/>
      <c r="AS25" s="103"/>
      <c r="AT25" s="103"/>
      <c r="AU25" s="103"/>
      <c r="AV25" s="51"/>
    </row>
    <row r="26" spans="1:48" ht="16.2" x14ac:dyDescent="0.45">
      <c r="A26" s="23"/>
      <c r="B26" s="220" t="s">
        <v>40</v>
      </c>
      <c r="C26" s="211"/>
      <c r="D26" s="104">
        <v>-0.2</v>
      </c>
      <c r="E26" s="104">
        <v>-4.4000000000000004</v>
      </c>
      <c r="F26" s="104">
        <v>0.4</v>
      </c>
      <c r="G26" s="104">
        <f t="shared" ref="G26" si="21">H26-F26-E26-D26</f>
        <v>-0.39999999999999963</v>
      </c>
      <c r="H26" s="174">
        <v>-4.5999999999999996</v>
      </c>
      <c r="I26" s="104">
        <v>-0.4</v>
      </c>
      <c r="J26" s="104">
        <v>-3.6</v>
      </c>
      <c r="K26" s="104">
        <v>0.3</v>
      </c>
      <c r="L26" s="104">
        <v>0.1</v>
      </c>
      <c r="M26" s="174">
        <f>SUM(I26:L26)</f>
        <v>-3.6</v>
      </c>
      <c r="N26" s="104">
        <v>0</v>
      </c>
      <c r="O26" s="104">
        <v>0</v>
      </c>
      <c r="P26" s="104">
        <v>0.8</v>
      </c>
      <c r="Q26" s="104">
        <v>0.2</v>
      </c>
      <c r="R26" s="174">
        <f>SUM(N26:Q26)</f>
        <v>1</v>
      </c>
      <c r="S26" s="104">
        <v>0.2</v>
      </c>
      <c r="T26" s="104">
        <f>AVERAGE(S26,Q26,P26,O26)</f>
        <v>0.30000000000000004</v>
      </c>
      <c r="U26" s="104">
        <v>0.8</v>
      </c>
      <c r="V26" s="104"/>
      <c r="W26" s="174"/>
      <c r="X26" s="104"/>
      <c r="Y26" s="104"/>
      <c r="Z26" s="104"/>
      <c r="AA26" s="104"/>
      <c r="AB26" s="174"/>
      <c r="AC26" s="104"/>
      <c r="AD26" s="104"/>
      <c r="AE26" s="104"/>
      <c r="AF26" s="104"/>
      <c r="AG26" s="174"/>
      <c r="AH26" s="104"/>
      <c r="AI26" s="104"/>
      <c r="AJ26" s="104"/>
      <c r="AK26" s="104"/>
      <c r="AL26" s="53"/>
      <c r="AM26" s="104"/>
      <c r="AN26" s="104"/>
      <c r="AO26" s="104"/>
      <c r="AP26" s="104"/>
      <c r="AQ26" s="53"/>
      <c r="AR26" s="104"/>
      <c r="AS26" s="104"/>
      <c r="AT26" s="104"/>
      <c r="AU26" s="104"/>
      <c r="AV26" s="53"/>
    </row>
    <row r="27" spans="1:48" s="8" customFormat="1" x14ac:dyDescent="0.3">
      <c r="A27" s="20"/>
      <c r="B27" s="219" t="s">
        <v>16</v>
      </c>
      <c r="C27" s="212"/>
      <c r="D27" s="103">
        <f t="shared" ref="D27:AQ27" si="22">+D25-D26</f>
        <v>760.60000000000048</v>
      </c>
      <c r="E27" s="103">
        <f t="shared" si="22"/>
        <v>663.1999999999997</v>
      </c>
      <c r="F27" s="103">
        <f t="shared" si="22"/>
        <v>1372.8000000000009</v>
      </c>
      <c r="G27" s="103">
        <f t="shared" si="22"/>
        <v>802.60000000000093</v>
      </c>
      <c r="H27" s="172">
        <f t="shared" si="22"/>
        <v>3599.2000000000053</v>
      </c>
      <c r="I27" s="103">
        <f t="shared" si="22"/>
        <v>885.69999999999879</v>
      </c>
      <c r="J27" s="103">
        <f t="shared" si="22"/>
        <v>328.39999999999907</v>
      </c>
      <c r="K27" s="103">
        <f t="shared" si="22"/>
        <v>-678.39999999999918</v>
      </c>
      <c r="L27" s="50">
        <f t="shared" si="22"/>
        <v>392.60000000000042</v>
      </c>
      <c r="M27" s="51">
        <f t="shared" si="22"/>
        <v>928.30000000000439</v>
      </c>
      <c r="N27" s="50">
        <f t="shared" si="22"/>
        <v>622.20000000000016</v>
      </c>
      <c r="O27" s="103">
        <f t="shared" si="22"/>
        <v>659.4</v>
      </c>
      <c r="P27" s="103">
        <f t="shared" si="22"/>
        <v>1153.399999999999</v>
      </c>
      <c r="Q27" s="103">
        <f t="shared" si="22"/>
        <v>1764.3999999999999</v>
      </c>
      <c r="R27" s="172">
        <f t="shared" si="22"/>
        <v>4199.3999999999978</v>
      </c>
      <c r="S27" s="50">
        <f t="shared" si="22"/>
        <v>815.90000000000009</v>
      </c>
      <c r="T27" s="50">
        <f t="shared" si="22"/>
        <v>674.70000000000016</v>
      </c>
      <c r="U27" s="50">
        <f t="shared" si="22"/>
        <v>912.89999999999964</v>
      </c>
      <c r="V27" s="50"/>
      <c r="W27" s="172"/>
      <c r="X27" s="50"/>
      <c r="Y27" s="50"/>
      <c r="Z27" s="50"/>
      <c r="AA27" s="50"/>
      <c r="AB27" s="51"/>
      <c r="AC27" s="50"/>
      <c r="AD27" s="50"/>
      <c r="AE27" s="50"/>
      <c r="AF27" s="50"/>
      <c r="AG27" s="51"/>
      <c r="AH27" s="50"/>
      <c r="AI27" s="50"/>
      <c r="AJ27" s="50"/>
      <c r="AK27" s="50"/>
      <c r="AL27" s="51"/>
      <c r="AM27" s="50"/>
      <c r="AN27" s="50"/>
      <c r="AO27" s="50"/>
      <c r="AP27" s="50"/>
      <c r="AQ27" s="51"/>
      <c r="AR27" s="50"/>
      <c r="AS27" s="50"/>
      <c r="AT27" s="50"/>
      <c r="AU27" s="50"/>
      <c r="AV27" s="51"/>
    </row>
    <row r="28" spans="1:48" s="8" customFormat="1" ht="16.2" x14ac:dyDescent="0.45">
      <c r="A28" s="20"/>
      <c r="B28" s="87" t="s">
        <v>72</v>
      </c>
      <c r="C28" s="84"/>
      <c r="D28" s="109">
        <f t="shared" ref="D28:AA28" si="23">-D171-D172</f>
        <v>41.449999999998646</v>
      </c>
      <c r="E28" s="109">
        <f t="shared" si="23"/>
        <v>-54.179999999999545</v>
      </c>
      <c r="F28" s="109">
        <f t="shared" si="23"/>
        <v>-544.16000000000076</v>
      </c>
      <c r="G28" s="109">
        <f t="shared" si="23"/>
        <v>-30</v>
      </c>
      <c r="H28" s="179">
        <f>SUM(D28:G28)</f>
        <v>-586.89000000000169</v>
      </c>
      <c r="I28" s="109">
        <f t="shared" si="23"/>
        <v>-11</v>
      </c>
      <c r="J28" s="109">
        <f t="shared" si="23"/>
        <v>-23</v>
      </c>
      <c r="K28" s="109">
        <f t="shared" si="23"/>
        <v>-35.055</v>
      </c>
      <c r="L28" s="91">
        <f>-L171-L172</f>
        <v>-50.810000000000372</v>
      </c>
      <c r="M28" s="92">
        <f>SUM(I28:L28)</f>
        <v>-119.86500000000038</v>
      </c>
      <c r="N28" s="109">
        <f t="shared" si="23"/>
        <v>-35.49</v>
      </c>
      <c r="O28" s="109">
        <f t="shared" si="23"/>
        <v>-11.847999999999999</v>
      </c>
      <c r="P28" s="109">
        <f t="shared" si="23"/>
        <v>-11.862</v>
      </c>
      <c r="Q28" s="109">
        <f t="shared" si="23"/>
        <v>-696.10940000000005</v>
      </c>
      <c r="R28" s="179">
        <f>SUM(N28:Q28)</f>
        <v>-755.3094000000001</v>
      </c>
      <c r="S28" s="91">
        <f t="shared" si="23"/>
        <v>-3.9480000000003299</v>
      </c>
      <c r="T28" s="91">
        <f t="shared" si="23"/>
        <v>-46.156000000000006</v>
      </c>
      <c r="U28" s="91">
        <f t="shared" si="23"/>
        <v>-23.02</v>
      </c>
      <c r="V28" s="91"/>
      <c r="W28" s="179"/>
      <c r="X28" s="91"/>
      <c r="Y28" s="91"/>
      <c r="Z28" s="91"/>
      <c r="AA28" s="91"/>
      <c r="AB28" s="92"/>
      <c r="AC28" s="91"/>
      <c r="AD28" s="91"/>
      <c r="AE28" s="91"/>
      <c r="AF28" s="91"/>
      <c r="AG28" s="92"/>
      <c r="AH28" s="91"/>
      <c r="AI28" s="91"/>
      <c r="AJ28" s="91"/>
      <c r="AK28" s="91"/>
      <c r="AL28" s="92"/>
      <c r="AM28" s="91"/>
      <c r="AN28" s="91"/>
      <c r="AO28" s="91"/>
      <c r="AP28" s="91"/>
      <c r="AQ28" s="92"/>
      <c r="AR28" s="91"/>
      <c r="AS28" s="91"/>
      <c r="AT28" s="91"/>
      <c r="AU28" s="91"/>
      <c r="AV28" s="92"/>
    </row>
    <row r="29" spans="1:48" s="8" customFormat="1" x14ac:dyDescent="0.3">
      <c r="A29" s="20"/>
      <c r="B29" s="85" t="s">
        <v>73</v>
      </c>
      <c r="C29" s="86"/>
      <c r="D29" s="108">
        <f t="shared" ref="D29:AQ29" si="24">+D19+D20+D21+D22-D24-D26+D28</f>
        <v>940.04999999999916</v>
      </c>
      <c r="E29" s="108">
        <f t="shared" si="24"/>
        <v>750.42000000000007</v>
      </c>
      <c r="F29" s="108">
        <f t="shared" si="24"/>
        <v>953.94</v>
      </c>
      <c r="G29" s="108">
        <f t="shared" si="24"/>
        <v>850.00000000000102</v>
      </c>
      <c r="H29" s="178">
        <f t="shared" si="24"/>
        <v>3494.4100000000039</v>
      </c>
      <c r="I29" s="108">
        <f t="shared" si="24"/>
        <v>946.2999999999987</v>
      </c>
      <c r="J29" s="108">
        <f t="shared" si="24"/>
        <v>372.19999999999902</v>
      </c>
      <c r="K29" s="108">
        <f t="shared" si="24"/>
        <v>-539.7749999999993</v>
      </c>
      <c r="L29" s="80">
        <f>+L19+L20+L21+L22-L24-L26+L28</f>
        <v>601.29</v>
      </c>
      <c r="M29" s="81">
        <f t="shared" si="24"/>
        <v>1380.0150000000035</v>
      </c>
      <c r="N29" s="108">
        <f t="shared" si="24"/>
        <v>721.61000000000024</v>
      </c>
      <c r="O29" s="108">
        <f t="shared" si="24"/>
        <v>735.75199999999995</v>
      </c>
      <c r="P29" s="108">
        <f t="shared" si="24"/>
        <v>1193.2379999999987</v>
      </c>
      <c r="Q29" s="108">
        <f t="shared" si="24"/>
        <v>1183.4905999999996</v>
      </c>
      <c r="R29" s="178">
        <f t="shared" si="24"/>
        <v>3834.0905999999977</v>
      </c>
      <c r="S29" s="80">
        <f t="shared" si="24"/>
        <v>847.15199999999982</v>
      </c>
      <c r="T29" s="80">
        <f t="shared" si="24"/>
        <v>676.04400000000032</v>
      </c>
      <c r="U29" s="80">
        <f t="shared" si="24"/>
        <v>967.37999999999965</v>
      </c>
      <c r="V29" s="80"/>
      <c r="W29" s="178"/>
      <c r="X29" s="80"/>
      <c r="Y29" s="80"/>
      <c r="Z29" s="80"/>
      <c r="AA29" s="80"/>
      <c r="AB29" s="81"/>
      <c r="AC29" s="80"/>
      <c r="AD29" s="80"/>
      <c r="AE29" s="80"/>
      <c r="AF29" s="80"/>
      <c r="AG29" s="81"/>
      <c r="AH29" s="80"/>
      <c r="AI29" s="80"/>
      <c r="AJ29" s="80"/>
      <c r="AK29" s="80"/>
      <c r="AL29" s="81"/>
      <c r="AM29" s="80"/>
      <c r="AN29" s="80"/>
      <c r="AO29" s="80"/>
      <c r="AP29" s="80"/>
      <c r="AQ29" s="81"/>
      <c r="AR29" s="80"/>
      <c r="AS29" s="80"/>
      <c r="AT29" s="80"/>
      <c r="AU29" s="80"/>
      <c r="AV29" s="81"/>
    </row>
    <row r="30" spans="1:48" x14ac:dyDescent="0.3">
      <c r="B30" s="392" t="s">
        <v>0</v>
      </c>
      <c r="C30" s="393"/>
      <c r="D30" s="101">
        <v>1242</v>
      </c>
      <c r="E30" s="101">
        <v>1239.2</v>
      </c>
      <c r="F30" s="101">
        <v>1211</v>
      </c>
      <c r="G30" s="101">
        <v>1210.7904210526317</v>
      </c>
      <c r="H30" s="170">
        <v>1221.2</v>
      </c>
      <c r="I30" s="101">
        <v>1180.4000000000001</v>
      </c>
      <c r="J30" s="101">
        <v>1171.8</v>
      </c>
      <c r="K30" s="101">
        <v>1168.5</v>
      </c>
      <c r="L30" s="101">
        <v>1167.3874645009873</v>
      </c>
      <c r="M30" s="17">
        <f>+(I27/M27*I30)+(J27/M27*J30)+(K27/M27*K30)+(L27/M27*L30)</f>
        <v>1180.550811766758</v>
      </c>
      <c r="N30" s="101">
        <v>1175</v>
      </c>
      <c r="O30" s="101">
        <v>1177.5</v>
      </c>
      <c r="P30" s="101">
        <v>1178.5</v>
      </c>
      <c r="Q30" s="101">
        <v>1179.5008492569002</v>
      </c>
      <c r="R30" s="170">
        <f>+(N27/R27*N30)+(O27/R27*O30)+(P27/R27*P30)+(Q27/R27*Q30)</f>
        <v>1178.2449155662418</v>
      </c>
      <c r="S30" s="16">
        <v>1169.5999999999999</v>
      </c>
      <c r="T30" s="16">
        <v>1149.2</v>
      </c>
      <c r="U30" s="16">
        <v>1147</v>
      </c>
      <c r="V30" s="16"/>
      <c r="W30" s="170"/>
      <c r="X30" s="16"/>
      <c r="Y30" s="16"/>
      <c r="Z30" s="16"/>
      <c r="AA30" s="16"/>
      <c r="AB30" s="17"/>
      <c r="AC30" s="16"/>
      <c r="AD30" s="16"/>
      <c r="AE30" s="16"/>
      <c r="AF30" s="16"/>
      <c r="AG30" s="17"/>
      <c r="AH30" s="16"/>
      <c r="AI30" s="16"/>
      <c r="AJ30" s="16"/>
      <c r="AK30" s="16"/>
      <c r="AL30" s="17"/>
      <c r="AM30" s="16"/>
      <c r="AN30" s="16"/>
      <c r="AO30" s="16"/>
      <c r="AP30" s="16"/>
      <c r="AQ30" s="17"/>
      <c r="AR30" s="16"/>
      <c r="AS30" s="16"/>
      <c r="AT30" s="16"/>
      <c r="AU30" s="16"/>
      <c r="AV30" s="17"/>
    </row>
    <row r="31" spans="1:48" ht="15.75" customHeight="1" x14ac:dyDescent="0.3">
      <c r="B31" s="392" t="s">
        <v>1</v>
      </c>
      <c r="C31" s="393"/>
      <c r="D31" s="101">
        <v>1253.4000000000001</v>
      </c>
      <c r="E31" s="101">
        <v>1250.7</v>
      </c>
      <c r="F31" s="101">
        <v>1223</v>
      </c>
      <c r="G31" s="101">
        <v>1222.8144210526316</v>
      </c>
      <c r="H31" s="170">
        <v>1233.2</v>
      </c>
      <c r="I31" s="101">
        <v>1191</v>
      </c>
      <c r="J31" s="101">
        <v>1180.7</v>
      </c>
      <c r="K31" s="101">
        <v>1168.5</v>
      </c>
      <c r="L31" s="101">
        <v>1179</v>
      </c>
      <c r="M31" s="17">
        <f>+(I27/M27*I31)+(J27/M27*J31)+(K27/M27*K31)+(L27/M27*L31)</f>
        <v>1198.7240978132002</v>
      </c>
      <c r="N31" s="101">
        <v>1183</v>
      </c>
      <c r="O31" s="101">
        <v>1184.8</v>
      </c>
      <c r="P31" s="101">
        <v>1186.2</v>
      </c>
      <c r="Q31" s="101">
        <v>1187.9000000000001</v>
      </c>
      <c r="R31" s="170">
        <f>+(N27/R27*N31)+(O27/R27*O31)+(P27/R27*P31)+(Q27/R27*Q31)</f>
        <v>1186.2203076629999</v>
      </c>
      <c r="S31" s="16">
        <v>1176.5999999999999</v>
      </c>
      <c r="T31" s="16">
        <v>1153.9000000000001</v>
      </c>
      <c r="U31" s="16">
        <v>1151</v>
      </c>
      <c r="V31" s="16"/>
      <c r="W31" s="170"/>
      <c r="X31" s="16"/>
      <c r="Y31" s="16"/>
      <c r="Z31" s="16"/>
      <c r="AA31" s="16"/>
      <c r="AB31" s="17"/>
      <c r="AC31" s="16"/>
      <c r="AD31" s="16"/>
      <c r="AE31" s="16"/>
      <c r="AF31" s="16"/>
      <c r="AG31" s="17"/>
      <c r="AH31" s="16"/>
      <c r="AI31" s="16"/>
      <c r="AJ31" s="16"/>
      <c r="AK31" s="16"/>
      <c r="AL31" s="17"/>
      <c r="AM31" s="16"/>
      <c r="AN31" s="16"/>
      <c r="AO31" s="16"/>
      <c r="AP31" s="16"/>
      <c r="AQ31" s="17"/>
      <c r="AR31" s="16"/>
      <c r="AS31" s="16"/>
      <c r="AT31" s="16"/>
      <c r="AU31" s="16"/>
      <c r="AV31" s="17"/>
    </row>
    <row r="32" spans="1:48" ht="15.75" customHeight="1" x14ac:dyDescent="0.3">
      <c r="B32" s="394" t="s">
        <v>6</v>
      </c>
      <c r="C32" s="395"/>
      <c r="D32" s="110">
        <f t="shared" ref="D32:AQ32" si="25">D27/D30</f>
        <v>0.61239935587761718</v>
      </c>
      <c r="E32" s="110">
        <f t="shared" si="25"/>
        <v>0.53518398967075509</v>
      </c>
      <c r="F32" s="110">
        <f t="shared" si="25"/>
        <v>1.1336085879438487</v>
      </c>
      <c r="G32" s="110">
        <f t="shared" si="25"/>
        <v>0.66287276975832043</v>
      </c>
      <c r="H32" s="175">
        <f t="shared" si="25"/>
        <v>2.947264985260404</v>
      </c>
      <c r="I32" s="110">
        <f t="shared" si="25"/>
        <v>0.75033886818027684</v>
      </c>
      <c r="J32" s="110">
        <f t="shared" si="25"/>
        <v>0.28025260283324721</v>
      </c>
      <c r="K32" s="110">
        <f t="shared" si="25"/>
        <v>-0.58057338468121455</v>
      </c>
      <c r="L32" s="110">
        <f t="shared" si="25"/>
        <v>0.3363065065700544</v>
      </c>
      <c r="M32" s="25">
        <f t="shared" si="25"/>
        <v>0.78632786555858059</v>
      </c>
      <c r="N32" s="110">
        <f t="shared" si="25"/>
        <v>0.52953191489361717</v>
      </c>
      <c r="O32" s="110">
        <f t="shared" si="25"/>
        <v>0.55999999999999994</v>
      </c>
      <c r="P32" s="110">
        <f t="shared" si="25"/>
        <v>0.97870173949936268</v>
      </c>
      <c r="Q32" s="110">
        <f t="shared" si="25"/>
        <v>1.495887011112873</v>
      </c>
      <c r="R32" s="175">
        <f t="shared" si="25"/>
        <v>3.5641146798260079</v>
      </c>
      <c r="S32" s="24">
        <f t="shared" si="25"/>
        <v>0.69758891928864586</v>
      </c>
      <c r="T32" s="24">
        <f t="shared" si="25"/>
        <v>0.58710407239819018</v>
      </c>
      <c r="U32" s="24">
        <f t="shared" si="25"/>
        <v>0.79590235396686981</v>
      </c>
      <c r="V32" s="24"/>
      <c r="W32" s="175"/>
      <c r="X32" s="24"/>
      <c r="Y32" s="24"/>
      <c r="Z32" s="24"/>
      <c r="AA32" s="24"/>
      <c r="AB32" s="25"/>
      <c r="AC32" s="24"/>
      <c r="AD32" s="24"/>
      <c r="AE32" s="24"/>
      <c r="AF32" s="24"/>
      <c r="AG32" s="25"/>
      <c r="AH32" s="24"/>
      <c r="AI32" s="24"/>
      <c r="AJ32" s="24"/>
      <c r="AK32" s="24"/>
      <c r="AL32" s="25"/>
      <c r="AM32" s="24"/>
      <c r="AN32" s="24"/>
      <c r="AO32" s="24"/>
      <c r="AP32" s="24"/>
      <c r="AQ32" s="25"/>
      <c r="AR32" s="24"/>
      <c r="AS32" s="24"/>
      <c r="AT32" s="24"/>
      <c r="AU32" s="24"/>
      <c r="AV32" s="25"/>
    </row>
    <row r="33" spans="2:48" x14ac:dyDescent="0.3">
      <c r="B33" s="394" t="s">
        <v>7</v>
      </c>
      <c r="C33" s="395"/>
      <c r="D33" s="110">
        <f t="shared" ref="D33:AQ33" si="26">D27/D31</f>
        <v>0.60682942396681061</v>
      </c>
      <c r="E33" s="110">
        <f t="shared" si="26"/>
        <v>0.53026305269049312</v>
      </c>
      <c r="F33" s="110">
        <f t="shared" si="26"/>
        <v>1.1224856909239582</v>
      </c>
      <c r="G33" s="110">
        <f t="shared" si="26"/>
        <v>0.65635470614510849</v>
      </c>
      <c r="H33" s="175">
        <f t="shared" si="26"/>
        <v>2.9185857930587131</v>
      </c>
      <c r="I33" s="110">
        <f t="shared" si="26"/>
        <v>0.74366078925272783</v>
      </c>
      <c r="J33" s="110">
        <f t="shared" si="26"/>
        <v>0.27814008638942922</v>
      </c>
      <c r="K33" s="110">
        <f t="shared" si="26"/>
        <v>-0.58057338468121455</v>
      </c>
      <c r="L33" s="110">
        <f t="shared" si="26"/>
        <v>0.3329940627650555</v>
      </c>
      <c r="M33" s="175">
        <f t="shared" si="26"/>
        <v>0.7744067226924668</v>
      </c>
      <c r="N33" s="110">
        <f t="shared" si="26"/>
        <v>0.52595097210481845</v>
      </c>
      <c r="O33" s="110">
        <f t="shared" si="26"/>
        <v>0.55654962862930457</v>
      </c>
      <c r="P33" s="110">
        <f t="shared" si="26"/>
        <v>0.97234867644579237</v>
      </c>
      <c r="Q33" s="110">
        <f t="shared" si="26"/>
        <v>1.4853102112972469</v>
      </c>
      <c r="R33" s="175">
        <f t="shared" si="26"/>
        <v>3.5401518359379072</v>
      </c>
      <c r="S33" s="24">
        <f t="shared" si="26"/>
        <v>0.69343872174060861</v>
      </c>
      <c r="T33" s="24">
        <f t="shared" si="26"/>
        <v>0.58471271340670783</v>
      </c>
      <c r="U33" s="24">
        <f t="shared" si="26"/>
        <v>0.79313640312771472</v>
      </c>
      <c r="V33" s="24"/>
      <c r="W33" s="175"/>
      <c r="X33" s="24"/>
      <c r="Y33" s="24"/>
      <c r="Z33" s="24"/>
      <c r="AA33" s="24"/>
      <c r="AB33" s="25"/>
      <c r="AC33" s="24"/>
      <c r="AD33" s="24"/>
      <c r="AE33" s="24"/>
      <c r="AF33" s="24"/>
      <c r="AG33" s="25"/>
      <c r="AH33" s="24"/>
      <c r="AI33" s="24"/>
      <c r="AJ33" s="24"/>
      <c r="AK33" s="24"/>
      <c r="AL33" s="25"/>
      <c r="AM33" s="24"/>
      <c r="AN33" s="24"/>
      <c r="AO33" s="24"/>
      <c r="AP33" s="24"/>
      <c r="AQ33" s="25"/>
      <c r="AR33" s="24"/>
      <c r="AS33" s="24"/>
      <c r="AT33" s="24"/>
      <c r="AU33" s="24"/>
      <c r="AV33" s="25"/>
    </row>
    <row r="34" spans="2:48" x14ac:dyDescent="0.3">
      <c r="B34" s="93" t="s">
        <v>74</v>
      </c>
      <c r="C34" s="100"/>
      <c r="D34" s="111">
        <f t="shared" ref="D34:AQ34" si="27">+D29/D31</f>
        <v>0.74999999999999922</v>
      </c>
      <c r="E34" s="111">
        <f t="shared" si="27"/>
        <v>0.60000000000000009</v>
      </c>
      <c r="F34" s="111">
        <f t="shared" si="27"/>
        <v>0.78</v>
      </c>
      <c r="G34" s="111">
        <f t="shared" si="27"/>
        <v>0.69511774261567683</v>
      </c>
      <c r="H34" s="173">
        <f t="shared" si="27"/>
        <v>2.8336117418099285</v>
      </c>
      <c r="I34" s="111">
        <f t="shared" si="27"/>
        <v>0.79454240134340781</v>
      </c>
      <c r="J34" s="111">
        <f t="shared" si="27"/>
        <v>0.31523672397730074</v>
      </c>
      <c r="K34" s="111">
        <f t="shared" si="27"/>
        <v>-0.46193838254171954</v>
      </c>
      <c r="L34" s="111">
        <f t="shared" si="27"/>
        <v>0.51</v>
      </c>
      <c r="M34" s="173">
        <f t="shared" si="27"/>
        <v>1.1512365543643674</v>
      </c>
      <c r="N34" s="111">
        <f t="shared" si="27"/>
        <v>0.60998309382924787</v>
      </c>
      <c r="O34" s="111">
        <f t="shared" si="27"/>
        <v>0.62099257258609042</v>
      </c>
      <c r="P34" s="111">
        <f t="shared" si="27"/>
        <v>1.0059332321699532</v>
      </c>
      <c r="Q34" s="111">
        <f t="shared" si="27"/>
        <v>0.99628807138648001</v>
      </c>
      <c r="R34" s="173">
        <f>+R29/R31+0.01</f>
        <v>3.2421909979383412</v>
      </c>
      <c r="S34" s="111">
        <f t="shared" si="27"/>
        <v>0.71999999999999986</v>
      </c>
      <c r="T34" s="111">
        <f t="shared" si="27"/>
        <v>0.58587745905191113</v>
      </c>
      <c r="U34" s="111">
        <f t="shared" si="27"/>
        <v>0.84046915725456095</v>
      </c>
      <c r="V34" s="111"/>
      <c r="W34" s="173"/>
      <c r="X34" s="82"/>
      <c r="Y34" s="82"/>
      <c r="Z34" s="82"/>
      <c r="AA34" s="82"/>
      <c r="AB34" s="83"/>
      <c r="AC34" s="82"/>
      <c r="AD34" s="82"/>
      <c r="AE34" s="82"/>
      <c r="AF34" s="82"/>
      <c r="AG34" s="83"/>
      <c r="AH34" s="82"/>
      <c r="AI34" s="82"/>
      <c r="AJ34" s="82"/>
      <c r="AK34" s="82"/>
      <c r="AL34" s="83"/>
      <c r="AM34" s="82"/>
      <c r="AN34" s="82"/>
      <c r="AO34" s="82"/>
      <c r="AP34" s="82"/>
      <c r="AQ34" s="83"/>
      <c r="AR34" s="82"/>
      <c r="AS34" s="82"/>
      <c r="AT34" s="82"/>
      <c r="AU34" s="82"/>
      <c r="AV34" s="83"/>
    </row>
    <row r="35" spans="2:48" x14ac:dyDescent="0.3">
      <c r="B35" s="38" t="s">
        <v>41</v>
      </c>
      <c r="C35" s="217"/>
      <c r="D35" s="250">
        <v>0.36</v>
      </c>
      <c r="E35" s="250">
        <v>0.36</v>
      </c>
      <c r="F35" s="250">
        <v>0.36</v>
      </c>
      <c r="G35" s="250">
        <v>0.41</v>
      </c>
      <c r="H35" s="175">
        <f>+SUM(D35:G35)</f>
        <v>1.49</v>
      </c>
      <c r="I35" s="250">
        <v>0.41</v>
      </c>
      <c r="J35" s="250">
        <v>0.41</v>
      </c>
      <c r="K35" s="250">
        <v>0.41</v>
      </c>
      <c r="L35" s="250">
        <f>K35*1.1</f>
        <v>0.45100000000000001</v>
      </c>
      <c r="M35" s="25">
        <f>+SUM(I35:L35)</f>
        <v>1.681</v>
      </c>
      <c r="N35" s="250">
        <f>+L35</f>
        <v>0.45100000000000001</v>
      </c>
      <c r="O35" s="250">
        <v>0.45</v>
      </c>
      <c r="P35" s="250">
        <v>0.45</v>
      </c>
      <c r="Q35" s="250">
        <v>0.49</v>
      </c>
      <c r="R35" s="25">
        <f>+SUM(N35:Q35)</f>
        <v>1.841</v>
      </c>
      <c r="S35" s="250">
        <v>0.49</v>
      </c>
      <c r="T35" s="250">
        <v>0.49</v>
      </c>
      <c r="U35" s="250">
        <v>0.49</v>
      </c>
      <c r="V35" s="251"/>
      <c r="W35" s="25"/>
      <c r="X35" s="251"/>
      <c r="Y35" s="251"/>
      <c r="Z35" s="251"/>
      <c r="AA35" s="251"/>
      <c r="AB35" s="25"/>
      <c r="AC35" s="251"/>
      <c r="AD35" s="251"/>
      <c r="AE35" s="251"/>
      <c r="AF35" s="251"/>
      <c r="AG35" s="25"/>
      <c r="AH35" s="251"/>
      <c r="AI35" s="251"/>
      <c r="AJ35" s="251"/>
      <c r="AK35" s="251"/>
      <c r="AL35" s="25"/>
      <c r="AM35" s="251"/>
      <c r="AN35" s="251"/>
      <c r="AO35" s="251"/>
      <c r="AP35" s="251"/>
      <c r="AQ35" s="25"/>
      <c r="AR35" s="251"/>
      <c r="AS35" s="251"/>
      <c r="AT35" s="251"/>
      <c r="AU35" s="251"/>
      <c r="AV35" s="25"/>
    </row>
    <row r="36" spans="2:48" s="252" customFormat="1" x14ac:dyDescent="0.3">
      <c r="B36" s="253" t="s">
        <v>171</v>
      </c>
      <c r="C36" s="254"/>
      <c r="D36" s="221"/>
      <c r="E36" s="221"/>
      <c r="F36" s="221"/>
      <c r="G36" s="221"/>
      <c r="H36" s="255">
        <f>H35/H33</f>
        <v>0.51052122693931912</v>
      </c>
      <c r="I36" s="221"/>
      <c r="J36" s="221"/>
      <c r="K36" s="221"/>
      <c r="L36" s="221"/>
      <c r="M36" s="255">
        <f>M35/M33</f>
        <v>2.1706939657696651</v>
      </c>
      <c r="N36" s="221"/>
      <c r="O36" s="221"/>
      <c r="P36" s="221"/>
      <c r="Q36" s="221"/>
      <c r="R36" s="255">
        <f>R35/R33</f>
        <v>0.52003419212449009</v>
      </c>
      <c r="S36" s="221"/>
      <c r="T36" s="221"/>
      <c r="U36" s="221"/>
      <c r="V36" s="221"/>
      <c r="W36" s="255"/>
      <c r="X36" s="221"/>
      <c r="Y36" s="221"/>
      <c r="Z36" s="221"/>
      <c r="AA36" s="221"/>
      <c r="AB36" s="255"/>
      <c r="AC36" s="221"/>
      <c r="AD36" s="221"/>
      <c r="AE36" s="221"/>
      <c r="AF36" s="221"/>
      <c r="AG36" s="255"/>
      <c r="AH36" s="221"/>
      <c r="AI36" s="221"/>
      <c r="AJ36" s="221"/>
      <c r="AK36" s="221"/>
      <c r="AL36" s="255"/>
      <c r="AM36" s="221"/>
      <c r="AN36" s="221"/>
      <c r="AO36" s="221"/>
      <c r="AP36" s="221"/>
      <c r="AQ36" s="255"/>
      <c r="AR36" s="221"/>
      <c r="AS36" s="221"/>
      <c r="AT36" s="221"/>
      <c r="AU36" s="221"/>
      <c r="AV36" s="255"/>
    </row>
    <row r="37" spans="2:48" s="63" customFormat="1" x14ac:dyDescent="0.3">
      <c r="B37" s="201"/>
      <c r="C37" s="200"/>
      <c r="D37" s="202"/>
      <c r="E37" s="203"/>
      <c r="F37" s="204"/>
      <c r="G37" s="203"/>
      <c r="H37" s="198"/>
      <c r="I37" s="203"/>
      <c r="J37" s="205"/>
      <c r="K37" s="205"/>
      <c r="L37" s="202"/>
      <c r="M37" s="198"/>
      <c r="N37" s="206"/>
      <c r="O37" s="200"/>
      <c r="P37" s="200"/>
      <c r="Q37" s="207"/>
      <c r="R37" s="198"/>
      <c r="S37" s="200"/>
      <c r="T37" s="200"/>
      <c r="U37" s="200"/>
      <c r="V37" s="207"/>
      <c r="W37" s="198"/>
      <c r="X37" s="200"/>
      <c r="Y37" s="200"/>
      <c r="Z37" s="200"/>
      <c r="AA37" s="208"/>
      <c r="AB37" s="198"/>
      <c r="AC37" s="200"/>
      <c r="AD37" s="200"/>
      <c r="AE37" s="200"/>
      <c r="AF37" s="207"/>
      <c r="AG37" s="198"/>
      <c r="AH37" s="200"/>
      <c r="AI37" s="200"/>
      <c r="AJ37" s="200"/>
      <c r="AK37" s="207"/>
      <c r="AL37" s="198"/>
      <c r="AM37" s="200"/>
      <c r="AN37" s="200"/>
      <c r="AO37" s="200"/>
      <c r="AP37" s="207"/>
      <c r="AQ37" s="198"/>
      <c r="AR37" s="200"/>
      <c r="AS37" s="200"/>
      <c r="AT37" s="200"/>
      <c r="AU37" s="207"/>
      <c r="AV37" s="198"/>
    </row>
    <row r="38" spans="2:48" ht="15.6" x14ac:dyDescent="0.3">
      <c r="B38" s="388" t="s">
        <v>13</v>
      </c>
      <c r="C38" s="389"/>
      <c r="D38" s="13" t="s">
        <v>15</v>
      </c>
      <c r="E38" s="13" t="s">
        <v>82</v>
      </c>
      <c r="F38" s="13" t="s">
        <v>84</v>
      </c>
      <c r="G38" s="13" t="s">
        <v>148</v>
      </c>
      <c r="H38" s="39" t="s">
        <v>148</v>
      </c>
      <c r="I38" s="13" t="s">
        <v>147</v>
      </c>
      <c r="J38" s="13" t="s">
        <v>146</v>
      </c>
      <c r="K38" s="13" t="s">
        <v>145</v>
      </c>
      <c r="L38" s="13" t="s">
        <v>142</v>
      </c>
      <c r="M38" s="39" t="s">
        <v>142</v>
      </c>
      <c r="N38" s="13" t="s">
        <v>149</v>
      </c>
      <c r="O38" s="13" t="s">
        <v>157</v>
      </c>
      <c r="P38" s="13" t="s">
        <v>159</v>
      </c>
      <c r="Q38" s="13" t="s">
        <v>172</v>
      </c>
      <c r="R38" s="39" t="s">
        <v>172</v>
      </c>
      <c r="S38" s="13" t="s">
        <v>188</v>
      </c>
      <c r="T38" s="13" t="s">
        <v>191</v>
      </c>
      <c r="U38" s="13" t="s">
        <v>204</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161</v>
      </c>
      <c r="AN38" s="15" t="s">
        <v>162</v>
      </c>
      <c r="AO38" s="15" t="s">
        <v>163</v>
      </c>
      <c r="AP38" s="15" t="s">
        <v>164</v>
      </c>
      <c r="AQ38" s="41" t="s">
        <v>164</v>
      </c>
      <c r="AR38" s="15" t="s">
        <v>192</v>
      </c>
      <c r="AS38" s="15" t="s">
        <v>193</v>
      </c>
      <c r="AT38" s="15" t="s">
        <v>194</v>
      </c>
      <c r="AU38" s="15" t="s">
        <v>195</v>
      </c>
      <c r="AV38" s="41" t="s">
        <v>195</v>
      </c>
    </row>
    <row r="39" spans="2:48" ht="16.2" x14ac:dyDescent="0.45">
      <c r="B39" s="390"/>
      <c r="C39" s="391"/>
      <c r="D39" s="14" t="s">
        <v>19</v>
      </c>
      <c r="E39" s="14" t="s">
        <v>81</v>
      </c>
      <c r="F39" s="14" t="s">
        <v>85</v>
      </c>
      <c r="G39" s="14" t="s">
        <v>95</v>
      </c>
      <c r="H39" s="40" t="s">
        <v>96</v>
      </c>
      <c r="I39" s="14" t="s">
        <v>97</v>
      </c>
      <c r="J39" s="14" t="s">
        <v>98</v>
      </c>
      <c r="K39" s="14" t="s">
        <v>99</v>
      </c>
      <c r="L39" s="14" t="s">
        <v>143</v>
      </c>
      <c r="M39" s="40" t="s">
        <v>144</v>
      </c>
      <c r="N39" s="14" t="s">
        <v>150</v>
      </c>
      <c r="O39" s="14" t="s">
        <v>158</v>
      </c>
      <c r="P39" s="14" t="s">
        <v>160</v>
      </c>
      <c r="Q39" s="14" t="s">
        <v>173</v>
      </c>
      <c r="R39" s="40" t="s">
        <v>174</v>
      </c>
      <c r="S39" s="14" t="s">
        <v>189</v>
      </c>
      <c r="T39" s="14" t="s">
        <v>190</v>
      </c>
      <c r="U39" s="14" t="s">
        <v>205</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165</v>
      </c>
      <c r="AN39" s="12" t="s">
        <v>166</v>
      </c>
      <c r="AO39" s="12" t="s">
        <v>167</v>
      </c>
      <c r="AP39" s="12" t="s">
        <v>168</v>
      </c>
      <c r="AQ39" s="42" t="s">
        <v>169</v>
      </c>
      <c r="AR39" s="12" t="s">
        <v>196</v>
      </c>
      <c r="AS39" s="12" t="s">
        <v>197</v>
      </c>
      <c r="AT39" s="12" t="s">
        <v>198</v>
      </c>
      <c r="AU39" s="12" t="s">
        <v>199</v>
      </c>
      <c r="AV39" s="42" t="s">
        <v>200</v>
      </c>
    </row>
    <row r="40" spans="2:48" ht="17.399999999999999" x14ac:dyDescent="0.45">
      <c r="B40" s="404" t="s">
        <v>175</v>
      </c>
      <c r="C40" s="405"/>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3">
      <c r="B41" s="406" t="s">
        <v>176</v>
      </c>
      <c r="C41" s="407"/>
      <c r="D41" s="21">
        <v>9777</v>
      </c>
      <c r="E41" s="21">
        <v>9776</v>
      </c>
      <c r="F41" s="116">
        <v>9857</v>
      </c>
      <c r="G41" s="21">
        <v>9974</v>
      </c>
      <c r="H41" s="57"/>
      <c r="I41" s="21">
        <v>10020</v>
      </c>
      <c r="J41" s="21">
        <v>10051</v>
      </c>
      <c r="K41" s="21">
        <v>10017</v>
      </c>
      <c r="L41" s="21">
        <v>10109</v>
      </c>
      <c r="M41" s="57"/>
      <c r="N41" s="21">
        <v>10029</v>
      </c>
      <c r="O41" s="21">
        <f>+N41+O42</f>
        <v>9820</v>
      </c>
      <c r="P41" s="21">
        <f>+O41+P42</f>
        <v>9860</v>
      </c>
      <c r="Q41" s="21">
        <f>+P41+Q42</f>
        <v>9861</v>
      </c>
      <c r="R41" s="192"/>
      <c r="S41" s="21">
        <f>+Q41+S42</f>
        <v>9900</v>
      </c>
      <c r="T41" s="21">
        <f>+S41+T42</f>
        <v>9954</v>
      </c>
      <c r="U41" s="21">
        <f>+T41+U42</f>
        <v>10050</v>
      </c>
      <c r="V41" s="21"/>
      <c r="W41" s="192"/>
      <c r="X41" s="21"/>
      <c r="Y41" s="21"/>
      <c r="Z41" s="21"/>
      <c r="AA41" s="21"/>
      <c r="AB41" s="192"/>
      <c r="AC41" s="21"/>
      <c r="AD41" s="21"/>
      <c r="AE41" s="21"/>
      <c r="AF41" s="21"/>
      <c r="AG41" s="192"/>
      <c r="AH41" s="21"/>
      <c r="AI41" s="21"/>
      <c r="AJ41" s="21"/>
      <c r="AK41" s="21"/>
      <c r="AL41" s="192"/>
      <c r="AM41" s="21"/>
      <c r="AN41" s="21"/>
      <c r="AO41" s="21"/>
      <c r="AP41" s="21"/>
      <c r="AQ41" s="192"/>
      <c r="AR41" s="21"/>
      <c r="AS41" s="21"/>
      <c r="AT41" s="21"/>
      <c r="AU41" s="21"/>
      <c r="AV41" s="192"/>
    </row>
    <row r="42" spans="2:48" outlineLevel="1" x14ac:dyDescent="0.3">
      <c r="B42" s="181" t="s">
        <v>46</v>
      </c>
      <c r="C42" s="211"/>
      <c r="D42" s="101">
        <f>+D41-9690</f>
        <v>87</v>
      </c>
      <c r="E42" s="101">
        <f>E41-D41</f>
        <v>-1</v>
      </c>
      <c r="F42" s="101">
        <f>F41-E41</f>
        <v>81</v>
      </c>
      <c r="G42" s="101">
        <f>G41-F41</f>
        <v>117</v>
      </c>
      <c r="H42" s="122">
        <f>+SUM(D42:G42)</f>
        <v>284</v>
      </c>
      <c r="I42" s="101">
        <f>I41-G41</f>
        <v>46</v>
      </c>
      <c r="J42" s="101">
        <f>J41-I41</f>
        <v>31</v>
      </c>
      <c r="K42" s="101">
        <f>K41-J41</f>
        <v>-34</v>
      </c>
      <c r="L42" s="101">
        <f>L41-K41</f>
        <v>92</v>
      </c>
      <c r="M42" s="122"/>
      <c r="N42" s="101">
        <v>-80</v>
      </c>
      <c r="O42" s="101">
        <v>-209</v>
      </c>
      <c r="P42" s="101">
        <v>40</v>
      </c>
      <c r="Q42" s="101">
        <v>1</v>
      </c>
      <c r="R42" s="26"/>
      <c r="S42" s="101">
        <v>39</v>
      </c>
      <c r="T42" s="101">
        <v>54</v>
      </c>
      <c r="U42" s="101">
        <v>96</v>
      </c>
      <c r="V42" s="33"/>
      <c r="W42" s="122"/>
      <c r="X42" s="33"/>
      <c r="Y42" s="33"/>
      <c r="Z42" s="33"/>
      <c r="AA42" s="33"/>
      <c r="AB42" s="26"/>
      <c r="AC42" s="33"/>
      <c r="AD42" s="33"/>
      <c r="AE42" s="33"/>
      <c r="AF42" s="33"/>
      <c r="AG42" s="26"/>
      <c r="AH42" s="33"/>
      <c r="AI42" s="33"/>
      <c r="AJ42" s="33"/>
      <c r="AK42" s="33"/>
      <c r="AL42" s="26"/>
      <c r="AM42" s="33"/>
      <c r="AN42" s="33"/>
      <c r="AO42" s="33"/>
      <c r="AP42" s="33"/>
      <c r="AQ42" s="26"/>
      <c r="AR42" s="33"/>
      <c r="AS42" s="33"/>
      <c r="AT42" s="33"/>
      <c r="AU42" s="33"/>
      <c r="AV42" s="26"/>
    </row>
    <row r="43" spans="2:48" outlineLevel="1" x14ac:dyDescent="0.3">
      <c r="B43" s="181" t="s">
        <v>202</v>
      </c>
      <c r="C43" s="211"/>
      <c r="D43" s="101"/>
      <c r="E43" s="101">
        <f>AVERAGE(D41,E41)</f>
        <v>9776.5</v>
      </c>
      <c r="F43" s="101">
        <f t="shared" ref="F43:G43" si="28">AVERAGE(E41,F41)</f>
        <v>9816.5</v>
      </c>
      <c r="G43" s="101">
        <f t="shared" si="28"/>
        <v>9915.5</v>
      </c>
      <c r="H43" s="122"/>
      <c r="I43" s="101">
        <f>AVERAGE(G41,I41)</f>
        <v>9997</v>
      </c>
      <c r="J43" s="101">
        <f>AVERAGE(I41,J41)</f>
        <v>10035.5</v>
      </c>
      <c r="K43" s="101">
        <f t="shared" ref="K43:L43" si="29">AVERAGE(J41,K41)</f>
        <v>10034</v>
      </c>
      <c r="L43" s="101">
        <f t="shared" si="29"/>
        <v>10063</v>
      </c>
      <c r="M43" s="122"/>
      <c r="N43" s="101">
        <f>AVERAGE(L41,N41)</f>
        <v>10069</v>
      </c>
      <c r="O43" s="101">
        <f>AVERAGE(N41,O41)</f>
        <v>9924.5</v>
      </c>
      <c r="P43" s="101">
        <f t="shared" ref="P43:Q43" si="30">AVERAGE(O41,P41)</f>
        <v>9840</v>
      </c>
      <c r="Q43" s="101">
        <f t="shared" si="30"/>
        <v>9860.5</v>
      </c>
      <c r="R43" s="122"/>
      <c r="S43" s="101">
        <f>AVERAGE(Q41,S41)</f>
        <v>9880.5</v>
      </c>
      <c r="T43" s="101">
        <f>AVERAGE(S41,T41)</f>
        <v>9927</v>
      </c>
      <c r="U43" s="101">
        <f t="shared" ref="U43:V43" si="31">AVERAGE(T41,U41)</f>
        <v>10002</v>
      </c>
      <c r="V43" s="101"/>
      <c r="W43" s="122"/>
      <c r="X43" s="101"/>
      <c r="Y43" s="101"/>
      <c r="Z43" s="101"/>
      <c r="AA43" s="101"/>
      <c r="AB43" s="122"/>
      <c r="AC43" s="101"/>
      <c r="AD43" s="101"/>
      <c r="AE43" s="101"/>
      <c r="AF43" s="101"/>
      <c r="AG43" s="122"/>
      <c r="AH43" s="101"/>
      <c r="AI43" s="101"/>
      <c r="AJ43" s="101"/>
      <c r="AK43" s="101"/>
      <c r="AL43" s="122"/>
      <c r="AM43" s="101"/>
      <c r="AN43" s="101"/>
      <c r="AO43" s="101"/>
      <c r="AP43" s="101"/>
      <c r="AQ43" s="122"/>
      <c r="AR43" s="101"/>
      <c r="AS43" s="101"/>
      <c r="AT43" s="101"/>
      <c r="AU43" s="101"/>
      <c r="AV43" s="122"/>
    </row>
    <row r="44" spans="2:48" s="8" customFormat="1" outlineLevel="1" x14ac:dyDescent="0.3">
      <c r="B44" s="181" t="s">
        <v>206</v>
      </c>
      <c r="C44" s="216"/>
      <c r="D44" s="43"/>
      <c r="E44" s="43">
        <f>+E45/E43</f>
        <v>0.39376054825346496</v>
      </c>
      <c r="F44" s="43">
        <f>+F45/F43</f>
        <v>0.42603779351092547</v>
      </c>
      <c r="G44" s="43">
        <f>+G45/G43</f>
        <v>0.4199687358176592</v>
      </c>
      <c r="H44" s="97"/>
      <c r="I44" s="43">
        <f>+I45/I43</f>
        <v>0.44723417025107531</v>
      </c>
      <c r="J44" s="43">
        <f>+J45/J43</f>
        <v>0.38499327387773402</v>
      </c>
      <c r="K44" s="43">
        <f>+K45/K43</f>
        <v>0.25601953358580826</v>
      </c>
      <c r="L44" s="43">
        <f>+L45/L43</f>
        <v>0.3851038457716387</v>
      </c>
      <c r="M44" s="97"/>
      <c r="N44" s="43">
        <f>+N45/N43</f>
        <v>0.42554374813784884</v>
      </c>
      <c r="O44" s="43">
        <f>+O45/O43</f>
        <v>0.43008715804322634</v>
      </c>
      <c r="P44" s="43">
        <f>+P45/P43</f>
        <v>0.50099593495934958</v>
      </c>
      <c r="Q44" s="43">
        <f>+Q45/Q43</f>
        <v>0.53286344505856698</v>
      </c>
      <c r="R44" s="97"/>
      <c r="S44" s="43">
        <f>+S45/S43</f>
        <v>0.52771620869389202</v>
      </c>
      <c r="T44" s="43">
        <f>+T45/T43</f>
        <v>0.49725999798529263</v>
      </c>
      <c r="U44" s="43">
        <f>+U45/U43</f>
        <v>0.55120975804839034</v>
      </c>
      <c r="V44" s="230"/>
      <c r="W44" s="133"/>
      <c r="X44" s="230"/>
      <c r="Y44" s="230"/>
      <c r="Z44" s="230"/>
      <c r="AA44" s="230"/>
      <c r="AB44" s="97"/>
      <c r="AC44" s="230"/>
      <c r="AD44" s="230"/>
      <c r="AE44" s="230"/>
      <c r="AF44" s="230"/>
      <c r="AG44" s="97"/>
      <c r="AH44" s="230"/>
      <c r="AI44" s="230"/>
      <c r="AJ44" s="230"/>
      <c r="AK44" s="230"/>
      <c r="AL44" s="97"/>
      <c r="AM44" s="230"/>
      <c r="AN44" s="230"/>
      <c r="AO44" s="230"/>
      <c r="AP44" s="230"/>
      <c r="AQ44" s="97"/>
      <c r="AR44" s="230"/>
      <c r="AS44" s="230"/>
      <c r="AT44" s="230"/>
      <c r="AU44" s="230"/>
      <c r="AV44" s="97"/>
    </row>
    <row r="45" spans="2:48" s="8" customFormat="1" outlineLevel="1" x14ac:dyDescent="0.3">
      <c r="B45" s="394" t="s">
        <v>177</v>
      </c>
      <c r="C45" s="395"/>
      <c r="D45" s="50">
        <v>4092.2</v>
      </c>
      <c r="E45" s="50">
        <v>3849.6</v>
      </c>
      <c r="F45" s="50">
        <v>4182.2</v>
      </c>
      <c r="G45" s="50">
        <v>4164.2</v>
      </c>
      <c r="H45" s="97">
        <f>SUM(D45:G45)</f>
        <v>16288.2</v>
      </c>
      <c r="I45" s="50">
        <v>4471</v>
      </c>
      <c r="J45" s="50">
        <v>3863.6</v>
      </c>
      <c r="K45" s="103">
        <v>2568.9</v>
      </c>
      <c r="L45" s="50">
        <v>3875.3</v>
      </c>
      <c r="M45" s="97"/>
      <c r="N45" s="50">
        <v>4284.8</v>
      </c>
      <c r="O45" s="50">
        <v>4268.3999999999996</v>
      </c>
      <c r="P45" s="50">
        <v>4929.8</v>
      </c>
      <c r="Q45" s="103">
        <v>5254.3</v>
      </c>
      <c r="R45" s="97"/>
      <c r="S45" s="50">
        <v>5214.1000000000004</v>
      </c>
      <c r="T45" s="50">
        <v>4936.3</v>
      </c>
      <c r="U45" s="50">
        <v>5513.2</v>
      </c>
      <c r="V45" s="50"/>
      <c r="W45" s="133"/>
      <c r="X45" s="50"/>
      <c r="Y45" s="50"/>
      <c r="Z45" s="50"/>
      <c r="AA45" s="50"/>
      <c r="AB45" s="97"/>
      <c r="AC45" s="50"/>
      <c r="AD45" s="50"/>
      <c r="AE45" s="50"/>
      <c r="AF45" s="50"/>
      <c r="AG45" s="97"/>
      <c r="AH45" s="50"/>
      <c r="AI45" s="50"/>
      <c r="AJ45" s="50"/>
      <c r="AK45" s="50"/>
      <c r="AL45" s="97"/>
      <c r="AM45" s="50"/>
      <c r="AN45" s="50"/>
      <c r="AO45" s="50"/>
      <c r="AP45" s="50"/>
      <c r="AQ45" s="97"/>
      <c r="AR45" s="50"/>
      <c r="AS45" s="50"/>
      <c r="AT45" s="50"/>
      <c r="AU45" s="50"/>
      <c r="AV45" s="97"/>
    </row>
    <row r="46" spans="2:48" s="8" customFormat="1" outlineLevel="1" x14ac:dyDescent="0.3">
      <c r="B46" s="38" t="s">
        <v>201</v>
      </c>
      <c r="C46" s="216"/>
      <c r="D46" s="43"/>
      <c r="E46" s="43"/>
      <c r="F46" s="43"/>
      <c r="G46" s="43"/>
      <c r="H46" s="97"/>
      <c r="I46" s="27">
        <f>I45/D45-1</f>
        <v>9.2566345730902722E-2</v>
      </c>
      <c r="J46" s="27">
        <f>J45/E45-1</f>
        <v>3.6367414796343311E-3</v>
      </c>
      <c r="K46" s="27">
        <f>K45/F45-1</f>
        <v>-0.38575390942566112</v>
      </c>
      <c r="L46" s="27">
        <f>L45/G45-1</f>
        <v>-6.9377071226165765E-2</v>
      </c>
      <c r="M46" s="97"/>
      <c r="N46" s="27">
        <f>N45/I45-1</f>
        <v>-4.1646164169089617E-2</v>
      </c>
      <c r="O46" s="27">
        <f>O45/J45-1</f>
        <v>0.10477275080236037</v>
      </c>
      <c r="P46" s="27">
        <f>P45/K45-1</f>
        <v>0.91903149207832135</v>
      </c>
      <c r="Q46" s="27">
        <f>Q45/L45-1</f>
        <v>0.35584341857404578</v>
      </c>
      <c r="R46" s="97"/>
      <c r="S46" s="27">
        <f>S45/N45-1</f>
        <v>0.21688293502613898</v>
      </c>
      <c r="T46" s="27">
        <f>T45/O45-1</f>
        <v>0.15647549433042851</v>
      </c>
      <c r="U46" s="27">
        <f>U45/P45-1</f>
        <v>0.11834151486875721</v>
      </c>
      <c r="V46" s="27"/>
      <c r="W46" s="133"/>
      <c r="X46" s="27"/>
      <c r="Y46" s="27"/>
      <c r="Z46" s="27"/>
      <c r="AA46" s="27"/>
      <c r="AB46" s="97"/>
      <c r="AC46" s="27"/>
      <c r="AD46" s="27"/>
      <c r="AE46" s="27"/>
      <c r="AF46" s="27"/>
      <c r="AG46" s="97"/>
      <c r="AH46" s="27"/>
      <c r="AI46" s="27"/>
      <c r="AJ46" s="27"/>
      <c r="AK46" s="27"/>
      <c r="AL46" s="97"/>
      <c r="AM46" s="27"/>
      <c r="AN46" s="27"/>
      <c r="AO46" s="27"/>
      <c r="AP46" s="27"/>
      <c r="AQ46" s="97"/>
      <c r="AR46" s="27"/>
      <c r="AS46" s="27"/>
      <c r="AT46" s="27"/>
      <c r="AU46" s="27"/>
      <c r="AV46" s="97"/>
    </row>
    <row r="47" spans="2:48" outlineLevel="1" x14ac:dyDescent="0.3">
      <c r="B47" s="231" t="s">
        <v>44</v>
      </c>
      <c r="C47" s="232"/>
      <c r="D47" s="233">
        <v>0.04</v>
      </c>
      <c r="E47" s="233">
        <v>0</v>
      </c>
      <c r="F47" s="233">
        <v>0.03</v>
      </c>
      <c r="G47" s="233">
        <v>0.03</v>
      </c>
      <c r="H47" s="234"/>
      <c r="I47" s="233">
        <v>0.02</v>
      </c>
      <c r="J47" s="233">
        <v>-7.0000000000000007E-2</v>
      </c>
      <c r="K47" s="233">
        <v>-0.53</v>
      </c>
      <c r="L47" s="235">
        <v>-0.25</v>
      </c>
      <c r="M47" s="234"/>
      <c r="N47" s="233">
        <v>-0.21</v>
      </c>
      <c r="O47" s="233">
        <v>-0.1</v>
      </c>
      <c r="P47" s="233">
        <v>0.82</v>
      </c>
      <c r="Q47" s="233">
        <v>0.18</v>
      </c>
      <c r="R47" s="236"/>
      <c r="S47" s="235">
        <v>0.12</v>
      </c>
      <c r="T47" s="235">
        <v>0.05</v>
      </c>
      <c r="U47" s="235">
        <v>0.01</v>
      </c>
      <c r="V47" s="235"/>
      <c r="W47" s="234"/>
      <c r="X47" s="235"/>
      <c r="Y47" s="235"/>
      <c r="Z47" s="235"/>
      <c r="AA47" s="235"/>
      <c r="AB47" s="236"/>
      <c r="AC47" s="235"/>
      <c r="AD47" s="235"/>
      <c r="AE47" s="235"/>
      <c r="AF47" s="235"/>
      <c r="AG47" s="236"/>
      <c r="AH47" s="235"/>
      <c r="AI47" s="235"/>
      <c r="AJ47" s="235"/>
      <c r="AK47" s="235"/>
      <c r="AL47" s="236"/>
      <c r="AM47" s="235"/>
      <c r="AN47" s="235"/>
      <c r="AO47" s="235"/>
      <c r="AP47" s="235"/>
      <c r="AQ47" s="236"/>
      <c r="AR47" s="235"/>
      <c r="AS47" s="235"/>
      <c r="AT47" s="235"/>
      <c r="AU47" s="235"/>
      <c r="AV47" s="236"/>
    </row>
    <row r="48" spans="2:48" outlineLevel="1" x14ac:dyDescent="0.3">
      <c r="B48" s="38" t="s">
        <v>43</v>
      </c>
      <c r="C48" s="217"/>
      <c r="D48" s="237">
        <v>0</v>
      </c>
      <c r="E48" s="237">
        <v>0.04</v>
      </c>
      <c r="F48" s="237">
        <v>0.04</v>
      </c>
      <c r="G48" s="237">
        <v>0.03</v>
      </c>
      <c r="H48" s="228"/>
      <c r="I48" s="237">
        <v>0.03</v>
      </c>
      <c r="J48" s="237">
        <v>0.05</v>
      </c>
      <c r="K48" s="237">
        <v>0.27</v>
      </c>
      <c r="L48" s="238">
        <v>0.21</v>
      </c>
      <c r="M48" s="228"/>
      <c r="N48" s="237">
        <v>0.2</v>
      </c>
      <c r="O48" s="237">
        <v>0.22</v>
      </c>
      <c r="P48" s="237">
        <v>0.01</v>
      </c>
      <c r="Q48" s="237">
        <v>0.03</v>
      </c>
      <c r="R48" s="229"/>
      <c r="S48" s="238">
        <v>0.06</v>
      </c>
      <c r="T48" s="238">
        <v>7.0000000000000007E-2</v>
      </c>
      <c r="U48" s="239">
        <v>0.08</v>
      </c>
      <c r="V48" s="239"/>
      <c r="W48" s="149"/>
      <c r="X48" s="239"/>
      <c r="Y48" s="239"/>
      <c r="Z48" s="239"/>
      <c r="AA48" s="239"/>
      <c r="AB48" s="60"/>
      <c r="AC48" s="239"/>
      <c r="AD48" s="239"/>
      <c r="AE48" s="239"/>
      <c r="AF48" s="239"/>
      <c r="AG48" s="60"/>
      <c r="AH48" s="239"/>
      <c r="AI48" s="239"/>
      <c r="AJ48" s="239"/>
      <c r="AK48" s="239"/>
      <c r="AL48" s="60"/>
      <c r="AM48" s="239"/>
      <c r="AN48" s="239"/>
      <c r="AO48" s="239"/>
      <c r="AP48" s="239"/>
      <c r="AQ48" s="60"/>
      <c r="AR48" s="239"/>
      <c r="AS48" s="239"/>
      <c r="AT48" s="239"/>
      <c r="AU48" s="239"/>
      <c r="AV48" s="60"/>
    </row>
    <row r="49" spans="2:48" s="8" customFormat="1" outlineLevel="1" x14ac:dyDescent="0.3">
      <c r="B49" s="240" t="s">
        <v>45</v>
      </c>
      <c r="C49" s="241"/>
      <c r="D49" s="242">
        <v>0.04</v>
      </c>
      <c r="E49" s="242">
        <v>4.2999999999999997E-2</v>
      </c>
      <c r="F49" s="242">
        <v>7.0000000000000007E-2</v>
      </c>
      <c r="G49" s="242">
        <v>0.06</v>
      </c>
      <c r="H49" s="243"/>
      <c r="I49" s="242">
        <v>0.06</v>
      </c>
      <c r="J49" s="242">
        <v>-0.03</v>
      </c>
      <c r="K49" s="242">
        <v>-0.41</v>
      </c>
      <c r="L49" s="244">
        <v>-0.09</v>
      </c>
      <c r="M49" s="245"/>
      <c r="N49" s="244">
        <v>-0.06</v>
      </c>
      <c r="O49" s="244">
        <v>0.09</v>
      </c>
      <c r="P49" s="242">
        <v>0.84</v>
      </c>
      <c r="Q49" s="242">
        <v>0.22</v>
      </c>
      <c r="R49" s="246"/>
      <c r="S49" s="244">
        <v>0.18</v>
      </c>
      <c r="T49" s="244">
        <v>0.12</v>
      </c>
      <c r="U49" s="242">
        <v>0.09</v>
      </c>
      <c r="V49" s="242"/>
      <c r="W49" s="243"/>
      <c r="X49" s="244"/>
      <c r="Y49" s="244"/>
      <c r="Z49" s="244"/>
      <c r="AA49" s="244"/>
      <c r="AB49" s="243"/>
      <c r="AC49" s="244"/>
      <c r="AD49" s="244"/>
      <c r="AE49" s="244"/>
      <c r="AF49" s="244"/>
      <c r="AG49" s="243"/>
      <c r="AH49" s="244"/>
      <c r="AI49" s="244"/>
      <c r="AJ49" s="244"/>
      <c r="AK49" s="244"/>
      <c r="AL49" s="243"/>
      <c r="AM49" s="244"/>
      <c r="AN49" s="244"/>
      <c r="AO49" s="244"/>
      <c r="AP49" s="244"/>
      <c r="AQ49" s="243"/>
      <c r="AR49" s="244"/>
      <c r="AS49" s="244"/>
      <c r="AT49" s="244"/>
      <c r="AU49" s="244"/>
      <c r="AV49" s="243"/>
    </row>
    <row r="50" spans="2:48" s="8" customFormat="1" outlineLevel="1" x14ac:dyDescent="0.3">
      <c r="B50" s="410" t="s">
        <v>178</v>
      </c>
      <c r="C50" s="411"/>
      <c r="D50" s="67">
        <v>7876</v>
      </c>
      <c r="E50" s="67">
        <v>7943</v>
      </c>
      <c r="F50" s="117">
        <v>7996</v>
      </c>
      <c r="G50" s="67">
        <v>8093</v>
      </c>
      <c r="H50" s="68"/>
      <c r="I50" s="67">
        <v>8183</v>
      </c>
      <c r="J50" s="67">
        <v>8220</v>
      </c>
      <c r="K50" s="67">
        <v>8218</v>
      </c>
      <c r="L50" s="67">
        <v>6831</v>
      </c>
      <c r="M50" s="68"/>
      <c r="N50" s="67">
        <v>8279</v>
      </c>
      <c r="O50" s="67">
        <f>+N50+O51</f>
        <v>8300</v>
      </c>
      <c r="P50" s="67">
        <f t="shared" ref="P50" si="32">+O50+P51</f>
        <v>8315</v>
      </c>
      <c r="Q50" s="67">
        <v>6965</v>
      </c>
      <c r="R50" s="193"/>
      <c r="S50" s="67">
        <f>+Q50+S51</f>
        <v>6988</v>
      </c>
      <c r="T50" s="67">
        <f>+S50+T51</f>
        <v>6972</v>
      </c>
      <c r="U50" s="67">
        <f t="shared" ref="U50:V50" si="33">+T50+U51</f>
        <v>7000</v>
      </c>
      <c r="V50" s="67"/>
      <c r="W50" s="264"/>
      <c r="X50" s="67"/>
      <c r="Y50" s="67"/>
      <c r="Z50" s="67"/>
      <c r="AA50" s="67"/>
      <c r="AB50" s="193"/>
      <c r="AC50" s="67"/>
      <c r="AD50" s="67"/>
      <c r="AE50" s="67"/>
      <c r="AF50" s="67"/>
      <c r="AG50" s="193"/>
      <c r="AH50" s="67"/>
      <c r="AI50" s="67"/>
      <c r="AJ50" s="67"/>
      <c r="AK50" s="67"/>
      <c r="AL50" s="193"/>
      <c r="AM50" s="67"/>
      <c r="AN50" s="67"/>
      <c r="AO50" s="67"/>
      <c r="AP50" s="67"/>
      <c r="AQ50" s="193"/>
      <c r="AR50" s="67"/>
      <c r="AS50" s="67"/>
      <c r="AT50" s="67"/>
      <c r="AU50" s="67"/>
      <c r="AV50" s="193"/>
    </row>
    <row r="51" spans="2:48" outlineLevel="1" x14ac:dyDescent="0.3">
      <c r="B51" s="181" t="s">
        <v>47</v>
      </c>
      <c r="C51" s="211"/>
      <c r="D51" s="101">
        <f>+D50-7770</f>
        <v>106</v>
      </c>
      <c r="E51" s="101">
        <f>E50-D50</f>
        <v>67</v>
      </c>
      <c r="F51" s="101">
        <f t="shared" ref="F51:G51" si="34">F50-E50</f>
        <v>53</v>
      </c>
      <c r="G51" s="101">
        <f t="shared" si="34"/>
        <v>97</v>
      </c>
      <c r="H51" s="122">
        <f>+SUM(D51:G51)</f>
        <v>323</v>
      </c>
      <c r="I51" s="101">
        <f>I50-G50</f>
        <v>90</v>
      </c>
      <c r="J51" s="101">
        <f t="shared" ref="J51:K51" si="35">J50-I50</f>
        <v>37</v>
      </c>
      <c r="K51" s="101">
        <f t="shared" si="35"/>
        <v>-2</v>
      </c>
      <c r="L51" s="101">
        <v>32</v>
      </c>
      <c r="M51" s="122"/>
      <c r="N51" s="101">
        <v>34</v>
      </c>
      <c r="O51" s="101">
        <v>21</v>
      </c>
      <c r="P51" s="101">
        <v>15</v>
      </c>
      <c r="Q51" s="101">
        <v>73</v>
      </c>
      <c r="R51" s="26"/>
      <c r="S51" s="101">
        <v>23</v>
      </c>
      <c r="T51" s="101">
        <v>-16</v>
      </c>
      <c r="U51" s="101">
        <v>28</v>
      </c>
      <c r="V51" s="33"/>
      <c r="W51" s="122"/>
      <c r="X51" s="33"/>
      <c r="Y51" s="33"/>
      <c r="Z51" s="33"/>
      <c r="AA51" s="33"/>
      <c r="AB51" s="26"/>
      <c r="AC51" s="33"/>
      <c r="AD51" s="33"/>
      <c r="AE51" s="33"/>
      <c r="AF51" s="33"/>
      <c r="AG51" s="26"/>
      <c r="AH51" s="33"/>
      <c r="AI51" s="33"/>
      <c r="AJ51" s="33"/>
      <c r="AK51" s="33"/>
      <c r="AL51" s="26"/>
      <c r="AM51" s="33"/>
      <c r="AN51" s="33"/>
      <c r="AO51" s="33"/>
      <c r="AP51" s="33"/>
      <c r="AQ51" s="26"/>
      <c r="AR51" s="33"/>
      <c r="AS51" s="33"/>
      <c r="AT51" s="33"/>
      <c r="AU51" s="33"/>
      <c r="AV51" s="26"/>
    </row>
    <row r="52" spans="2:48" outlineLevel="1" x14ac:dyDescent="0.3">
      <c r="B52" s="181" t="s">
        <v>49</v>
      </c>
      <c r="C52" s="211"/>
      <c r="D52" s="16">
        <f>AVERAGE(D50,7770)</f>
        <v>7823</v>
      </c>
      <c r="E52" s="16">
        <f>AVERAGE(E50,D50)</f>
        <v>7909.5</v>
      </c>
      <c r="F52" s="16">
        <f t="shared" ref="F52:G52" si="36">AVERAGE(F50,E50)</f>
        <v>7969.5</v>
      </c>
      <c r="G52" s="16">
        <f t="shared" si="36"/>
        <v>8044.5</v>
      </c>
      <c r="H52" s="26"/>
      <c r="I52" s="16">
        <f>AVERAGE(I50,G50)</f>
        <v>8138</v>
      </c>
      <c r="J52" s="16">
        <f>AVERAGE(J50,I50)</f>
        <v>8201.5</v>
      </c>
      <c r="K52" s="16">
        <f t="shared" ref="K52:L52" si="37">AVERAGE(K50,J50)</f>
        <v>8219</v>
      </c>
      <c r="L52" s="16">
        <f t="shared" si="37"/>
        <v>7524.5</v>
      </c>
      <c r="M52" s="6"/>
      <c r="N52" s="16">
        <f>AVERAGE(N50,L50)</f>
        <v>7555</v>
      </c>
      <c r="O52" s="16">
        <f>AVERAGE(O50,N50)</f>
        <v>8289.5</v>
      </c>
      <c r="P52" s="16">
        <f t="shared" ref="P52:Q52" si="38">AVERAGE(P50,O50)</f>
        <v>8307.5</v>
      </c>
      <c r="Q52" s="16">
        <f t="shared" si="38"/>
        <v>7640</v>
      </c>
      <c r="R52" s="6"/>
      <c r="S52" s="16">
        <f>AVERAGE(S50,Q50)</f>
        <v>6976.5</v>
      </c>
      <c r="T52" s="16">
        <f>AVERAGE(T50,S50)</f>
        <v>6980</v>
      </c>
      <c r="U52" s="16">
        <f t="shared" ref="U52:V52" si="39">AVERAGE(U50,T50)</f>
        <v>6986</v>
      </c>
      <c r="V52" s="16"/>
      <c r="W52" s="131"/>
      <c r="X52" s="16"/>
      <c r="Y52" s="16"/>
      <c r="Z52" s="16"/>
      <c r="AA52" s="16"/>
      <c r="AB52" s="6"/>
      <c r="AC52" s="16"/>
      <c r="AD52" s="16"/>
      <c r="AE52" s="16"/>
      <c r="AF52" s="16"/>
      <c r="AG52" s="6"/>
      <c r="AH52" s="16"/>
      <c r="AI52" s="16"/>
      <c r="AJ52" s="16"/>
      <c r="AK52" s="16"/>
      <c r="AL52" s="6"/>
      <c r="AM52" s="16"/>
      <c r="AN52" s="16"/>
      <c r="AO52" s="16"/>
      <c r="AP52" s="16"/>
      <c r="AQ52" s="6"/>
      <c r="AR52" s="16"/>
      <c r="AS52" s="16"/>
      <c r="AT52" s="16"/>
      <c r="AU52" s="16"/>
      <c r="AV52" s="6"/>
    </row>
    <row r="53" spans="2:48" outlineLevel="1" x14ac:dyDescent="0.3">
      <c r="B53" s="181" t="s">
        <v>203</v>
      </c>
      <c r="C53" s="211"/>
      <c r="D53" s="43">
        <f>+D54/D52</f>
        <v>6.5780391154288645E-2</v>
      </c>
      <c r="E53" s="43">
        <f>+E54/E52</f>
        <v>5.8549845122953414E-2</v>
      </c>
      <c r="F53" s="43">
        <f>+F54/F52</f>
        <v>6.2274923144488362E-2</v>
      </c>
      <c r="G53" s="114">
        <f t="shared" ref="G53:S53" si="40">+G54/G52</f>
        <v>6.016533034992852E-2</v>
      </c>
      <c r="H53" s="128"/>
      <c r="I53" s="114">
        <f t="shared" si="40"/>
        <v>6.6023593020398133E-2</v>
      </c>
      <c r="J53" s="114">
        <f t="shared" si="40"/>
        <v>5.6599402548314331E-2</v>
      </c>
      <c r="K53" s="114">
        <f t="shared" si="40"/>
        <v>2.8653120817617714E-2</v>
      </c>
      <c r="L53" s="114">
        <f t="shared" si="40"/>
        <v>4.4773739118878331E-2</v>
      </c>
      <c r="M53" s="6"/>
      <c r="N53" s="114">
        <f t="shared" si="40"/>
        <v>5.5089344804765052E-2</v>
      </c>
      <c r="O53" s="114">
        <f t="shared" si="40"/>
        <v>4.7554134748778572E-2</v>
      </c>
      <c r="P53" s="114">
        <f t="shared" si="40"/>
        <v>5.6394823954258204E-2</v>
      </c>
      <c r="Q53" s="114">
        <f t="shared" si="40"/>
        <v>6.6295811518324602E-2</v>
      </c>
      <c r="R53" s="6"/>
      <c r="S53" s="114">
        <f t="shared" si="40"/>
        <v>7.3948254855586606E-2</v>
      </c>
      <c r="T53" s="114">
        <f>+T54/T52</f>
        <v>7.2636103151862461E-2</v>
      </c>
      <c r="U53" s="114">
        <f>+U54/U52</f>
        <v>7.7898654451760668E-2</v>
      </c>
      <c r="V53" s="62"/>
      <c r="W53" s="131"/>
      <c r="X53" s="62"/>
      <c r="Y53" s="62"/>
      <c r="Z53" s="62"/>
      <c r="AA53" s="62"/>
      <c r="AB53" s="6"/>
      <c r="AC53" s="62"/>
      <c r="AD53" s="62"/>
      <c r="AE53" s="62"/>
      <c r="AF53" s="62"/>
      <c r="AG53" s="6"/>
      <c r="AH53" s="62"/>
      <c r="AI53" s="62"/>
      <c r="AJ53" s="62"/>
      <c r="AK53" s="62"/>
      <c r="AL53" s="6"/>
      <c r="AM53" s="62"/>
      <c r="AN53" s="62"/>
      <c r="AO53" s="62"/>
      <c r="AP53" s="62"/>
      <c r="AQ53" s="6"/>
      <c r="AR53" s="62"/>
      <c r="AS53" s="62"/>
      <c r="AT53" s="62"/>
      <c r="AU53" s="62"/>
      <c r="AV53" s="6"/>
    </row>
    <row r="54" spans="2:48" s="8" customFormat="1" outlineLevel="1" x14ac:dyDescent="0.3">
      <c r="B54" s="412" t="s">
        <v>179</v>
      </c>
      <c r="C54" s="413"/>
      <c r="D54" s="115">
        <v>514.6</v>
      </c>
      <c r="E54" s="115">
        <v>463.1</v>
      </c>
      <c r="F54" s="115">
        <v>496.3</v>
      </c>
      <c r="G54" s="115">
        <v>484</v>
      </c>
      <c r="H54" s="154"/>
      <c r="I54" s="115">
        <v>537.29999999999995</v>
      </c>
      <c r="J54" s="115">
        <v>464.2</v>
      </c>
      <c r="K54" s="115">
        <v>235.5</v>
      </c>
      <c r="L54" s="72">
        <v>336.9</v>
      </c>
      <c r="M54" s="73"/>
      <c r="N54" s="72">
        <v>416.2</v>
      </c>
      <c r="O54" s="72">
        <v>394.2</v>
      </c>
      <c r="P54" s="72">
        <v>468.5</v>
      </c>
      <c r="Q54" s="115">
        <v>506.5</v>
      </c>
      <c r="R54" s="73"/>
      <c r="S54" s="72">
        <v>515.9</v>
      </c>
      <c r="T54" s="72">
        <v>507</v>
      </c>
      <c r="U54" s="72">
        <v>544.20000000000005</v>
      </c>
      <c r="V54" s="72"/>
      <c r="W54" s="223"/>
      <c r="X54" s="72"/>
      <c r="Y54" s="72"/>
      <c r="Z54" s="72"/>
      <c r="AA54" s="72"/>
      <c r="AB54" s="73"/>
      <c r="AC54" s="72"/>
      <c r="AD54" s="72"/>
      <c r="AE54" s="72"/>
      <c r="AF54" s="72"/>
      <c r="AG54" s="73"/>
      <c r="AH54" s="72"/>
      <c r="AI54" s="72"/>
      <c r="AJ54" s="72"/>
      <c r="AK54" s="72"/>
      <c r="AL54" s="73"/>
      <c r="AM54" s="72"/>
      <c r="AN54" s="72"/>
      <c r="AO54" s="72"/>
      <c r="AP54" s="72"/>
      <c r="AQ54" s="73"/>
      <c r="AR54" s="72"/>
      <c r="AS54" s="72"/>
      <c r="AT54" s="72"/>
      <c r="AU54" s="72"/>
      <c r="AV54" s="73"/>
    </row>
    <row r="55" spans="2:48" s="8" customFormat="1" outlineLevel="1" x14ac:dyDescent="0.3">
      <c r="B55" s="394" t="s">
        <v>180</v>
      </c>
      <c r="C55" s="395"/>
      <c r="D55" s="103">
        <v>5.7</v>
      </c>
      <c r="E55" s="103">
        <v>1.4</v>
      </c>
      <c r="F55" s="103">
        <v>2.6</v>
      </c>
      <c r="G55" s="103">
        <v>3.2</v>
      </c>
      <c r="H55" s="155"/>
      <c r="I55" s="103">
        <v>2.6</v>
      </c>
      <c r="J55" s="103">
        <v>2.2000000000000002</v>
      </c>
      <c r="K55" s="103">
        <v>1.1000000000000001</v>
      </c>
      <c r="L55" s="50">
        <v>1.7</v>
      </c>
      <c r="M55" s="97"/>
      <c r="N55" s="50">
        <v>2.2000000000000002</v>
      </c>
      <c r="O55" s="50">
        <v>2</v>
      </c>
      <c r="P55" s="50">
        <v>2</v>
      </c>
      <c r="Q55" s="103">
        <v>2.2000000000000002</v>
      </c>
      <c r="R55" s="192"/>
      <c r="S55" s="50">
        <v>2.2999999999999998</v>
      </c>
      <c r="T55" s="50">
        <v>2.4</v>
      </c>
      <c r="U55" s="50">
        <v>1</v>
      </c>
      <c r="V55" s="50"/>
      <c r="W55" s="167"/>
      <c r="X55" s="50"/>
      <c r="Y55" s="50"/>
      <c r="Z55" s="50"/>
      <c r="AA55" s="50"/>
      <c r="AB55" s="192"/>
      <c r="AC55" s="50"/>
      <c r="AD55" s="50"/>
      <c r="AE55" s="50"/>
      <c r="AF55" s="50"/>
      <c r="AG55" s="192"/>
      <c r="AH55" s="50"/>
      <c r="AI55" s="50"/>
      <c r="AJ55" s="50"/>
      <c r="AK55" s="50"/>
      <c r="AL55" s="192"/>
      <c r="AM55" s="50"/>
      <c r="AN55" s="50"/>
      <c r="AO55" s="50"/>
      <c r="AP55" s="50"/>
      <c r="AQ55" s="192"/>
      <c r="AR55" s="50"/>
      <c r="AS55" s="50"/>
      <c r="AT55" s="50"/>
      <c r="AU55" s="50"/>
      <c r="AV55" s="192"/>
    </row>
    <row r="56" spans="2:48" outlineLevel="1" x14ac:dyDescent="0.3">
      <c r="B56" s="69" t="s">
        <v>50</v>
      </c>
      <c r="C56" s="70"/>
      <c r="D56" s="120"/>
      <c r="E56" s="120"/>
      <c r="F56" s="120"/>
      <c r="G56" s="120"/>
      <c r="H56" s="156"/>
      <c r="I56" s="120">
        <f>I55/D55-1</f>
        <v>-0.54385964912280704</v>
      </c>
      <c r="J56" s="120">
        <f t="shared" ref="J56" si="41">J55/E55-1</f>
        <v>0.57142857142857162</v>
      </c>
      <c r="K56" s="120">
        <f>K55/F55-1</f>
        <v>-0.57692307692307687</v>
      </c>
      <c r="L56" s="120">
        <f>L55/G55-1</f>
        <v>-0.46875</v>
      </c>
      <c r="M56" s="58"/>
      <c r="N56" s="120">
        <f>N55/I55-1</f>
        <v>-0.15384615384615385</v>
      </c>
      <c r="O56" s="120">
        <f t="shared" ref="O56" si="42">O55/J55-1</f>
        <v>-9.0909090909090939E-2</v>
      </c>
      <c r="P56" s="120">
        <f>P55/K55-1</f>
        <v>0.81818181818181812</v>
      </c>
      <c r="Q56" s="120">
        <f>Q55/L55-1</f>
        <v>0.29411764705882359</v>
      </c>
      <c r="R56" s="58"/>
      <c r="S56" s="120">
        <f>S55/N55-1</f>
        <v>4.5454545454545192E-2</v>
      </c>
      <c r="T56" s="120">
        <f t="shared" ref="T56:U56" si="43">T55/O55-1</f>
        <v>0.19999999999999996</v>
      </c>
      <c r="U56" s="120">
        <f t="shared" si="43"/>
        <v>-0.5</v>
      </c>
      <c r="V56" s="71"/>
      <c r="W56" s="156"/>
      <c r="X56" s="71"/>
      <c r="Y56" s="71"/>
      <c r="Z56" s="71"/>
      <c r="AA56" s="71"/>
      <c r="AB56" s="58"/>
      <c r="AC56" s="71"/>
      <c r="AD56" s="71"/>
      <c r="AE56" s="71"/>
      <c r="AF56" s="71"/>
      <c r="AG56" s="58"/>
      <c r="AH56" s="71"/>
      <c r="AI56" s="71"/>
      <c r="AJ56" s="71"/>
      <c r="AK56" s="71"/>
      <c r="AL56" s="58"/>
      <c r="AM56" s="71"/>
      <c r="AN56" s="71"/>
      <c r="AO56" s="71"/>
      <c r="AP56" s="71"/>
      <c r="AQ56" s="58"/>
      <c r="AR56" s="71"/>
      <c r="AS56" s="71"/>
      <c r="AT56" s="71"/>
      <c r="AU56" s="71"/>
      <c r="AV56" s="58"/>
    </row>
    <row r="57" spans="2:48" outlineLevel="1" x14ac:dyDescent="0.3">
      <c r="B57" s="181" t="s">
        <v>181</v>
      </c>
      <c r="C57" s="217"/>
      <c r="D57" s="101">
        <f t="shared" ref="D57:G58" si="44">+D50+D41</f>
        <v>17653</v>
      </c>
      <c r="E57" s="101">
        <f t="shared" si="44"/>
        <v>17719</v>
      </c>
      <c r="F57" s="101">
        <f t="shared" si="44"/>
        <v>17853</v>
      </c>
      <c r="G57" s="101">
        <f t="shared" si="44"/>
        <v>18067</v>
      </c>
      <c r="H57" s="122"/>
      <c r="I57" s="101">
        <f t="shared" ref="I57:L58" si="45">+I50+I41</f>
        <v>18203</v>
      </c>
      <c r="J57" s="101">
        <f t="shared" si="45"/>
        <v>18271</v>
      </c>
      <c r="K57" s="101">
        <f t="shared" si="45"/>
        <v>18235</v>
      </c>
      <c r="L57" s="16">
        <f t="shared" si="45"/>
        <v>16940</v>
      </c>
      <c r="M57" s="6"/>
      <c r="N57" s="16">
        <f t="shared" ref="N57:Q58" si="46">+N50+N41</f>
        <v>18308</v>
      </c>
      <c r="O57" s="16">
        <f t="shared" si="46"/>
        <v>18120</v>
      </c>
      <c r="P57" s="16">
        <f t="shared" si="46"/>
        <v>18175</v>
      </c>
      <c r="Q57" s="101">
        <f t="shared" si="46"/>
        <v>16826</v>
      </c>
      <c r="R57" s="6"/>
      <c r="S57" s="16">
        <f t="shared" ref="S57:V58" si="47">+S50+S41</f>
        <v>16888</v>
      </c>
      <c r="T57" s="16">
        <f t="shared" si="47"/>
        <v>16926</v>
      </c>
      <c r="U57" s="16">
        <f t="shared" si="47"/>
        <v>17050</v>
      </c>
      <c r="V57" s="16"/>
      <c r="W57" s="265"/>
      <c r="X57" s="16"/>
      <c r="Y57" s="16"/>
      <c r="Z57" s="16"/>
      <c r="AA57" s="16"/>
      <c r="AB57" s="266"/>
      <c r="AC57" s="16"/>
      <c r="AD57" s="16"/>
      <c r="AE57" s="16"/>
      <c r="AF57" s="16"/>
      <c r="AG57" s="266"/>
      <c r="AH57" s="16"/>
      <c r="AI57" s="16"/>
      <c r="AJ57" s="16"/>
      <c r="AK57" s="16"/>
      <c r="AL57" s="197"/>
      <c r="AM57" s="16"/>
      <c r="AN57" s="16"/>
      <c r="AO57" s="16"/>
      <c r="AP57" s="16"/>
      <c r="AQ57" s="197"/>
      <c r="AR57" s="16"/>
      <c r="AS57" s="16"/>
      <c r="AT57" s="16"/>
      <c r="AU57" s="16"/>
      <c r="AV57" s="197"/>
    </row>
    <row r="58" spans="2:48" outlineLevel="1" x14ac:dyDescent="0.3">
      <c r="B58" s="181" t="s">
        <v>182</v>
      </c>
      <c r="C58" s="217"/>
      <c r="D58" s="101">
        <f t="shared" si="44"/>
        <v>193</v>
      </c>
      <c r="E58" s="101">
        <f t="shared" si="44"/>
        <v>66</v>
      </c>
      <c r="F58" s="101">
        <f t="shared" si="44"/>
        <v>134</v>
      </c>
      <c r="G58" s="101">
        <f t="shared" si="44"/>
        <v>214</v>
      </c>
      <c r="H58" s="122">
        <f>+H51+H42</f>
        <v>607</v>
      </c>
      <c r="I58" s="101">
        <f t="shared" si="45"/>
        <v>136</v>
      </c>
      <c r="J58" s="101">
        <f t="shared" si="45"/>
        <v>68</v>
      </c>
      <c r="K58" s="101">
        <f t="shared" si="45"/>
        <v>-36</v>
      </c>
      <c r="L58" s="16">
        <f t="shared" si="45"/>
        <v>124</v>
      </c>
      <c r="M58" s="122"/>
      <c r="N58" s="16">
        <f t="shared" si="46"/>
        <v>-46</v>
      </c>
      <c r="O58" s="16">
        <f t="shared" si="46"/>
        <v>-188</v>
      </c>
      <c r="P58" s="16">
        <f t="shared" si="46"/>
        <v>55</v>
      </c>
      <c r="Q58" s="101">
        <f t="shared" si="46"/>
        <v>74</v>
      </c>
      <c r="R58" s="122"/>
      <c r="S58" s="16">
        <f t="shared" si="47"/>
        <v>62</v>
      </c>
      <c r="T58" s="16">
        <f t="shared" si="47"/>
        <v>38</v>
      </c>
      <c r="U58" s="16">
        <f t="shared" si="47"/>
        <v>124</v>
      </c>
      <c r="V58" s="16"/>
      <c r="W58" s="122"/>
      <c r="X58" s="16"/>
      <c r="Y58" s="16"/>
      <c r="Z58" s="16"/>
      <c r="AA58" s="16"/>
      <c r="AB58" s="122"/>
      <c r="AC58" s="16"/>
      <c r="AD58" s="16"/>
      <c r="AE58" s="16"/>
      <c r="AF58" s="16"/>
      <c r="AG58" s="122"/>
      <c r="AH58" s="16"/>
      <c r="AI58" s="16"/>
      <c r="AJ58" s="16"/>
      <c r="AK58" s="16"/>
      <c r="AL58" s="122"/>
      <c r="AM58" s="16"/>
      <c r="AN58" s="16"/>
      <c r="AO58" s="16"/>
      <c r="AP58" s="16"/>
      <c r="AQ58" s="122"/>
      <c r="AR58" s="16"/>
      <c r="AS58" s="16"/>
      <c r="AT58" s="16"/>
      <c r="AU58" s="16"/>
      <c r="AV58" s="122"/>
    </row>
    <row r="59" spans="2:48" outlineLevel="1" x14ac:dyDescent="0.3">
      <c r="B59" s="408" t="s">
        <v>183</v>
      </c>
      <c r="C59" s="409"/>
      <c r="D59" s="115">
        <f>+D55+D54+D45</f>
        <v>4612.5</v>
      </c>
      <c r="E59" s="115">
        <f>+E55+E54+E45</f>
        <v>4314.1000000000004</v>
      </c>
      <c r="F59" s="115">
        <f>+F55+F54+F45</f>
        <v>4681.0999999999995</v>
      </c>
      <c r="G59" s="115">
        <f>+G55+G54+G45</f>
        <v>4651.3999999999996</v>
      </c>
      <c r="H59" s="133">
        <f>SUM(D59:G59)</f>
        <v>18259.099999999999</v>
      </c>
      <c r="I59" s="115">
        <f>+I55+I54+I45</f>
        <v>5010.8999999999996</v>
      </c>
      <c r="J59" s="115">
        <f>+J55+J54+J45</f>
        <v>4330</v>
      </c>
      <c r="K59" s="115">
        <f>+K55+K54+K45</f>
        <v>2805.5</v>
      </c>
      <c r="L59" s="72">
        <f>+L55+L54+L45</f>
        <v>4213.9000000000005</v>
      </c>
      <c r="M59" s="97"/>
      <c r="N59" s="72">
        <f>+N55+N54+N45</f>
        <v>4703.2</v>
      </c>
      <c r="O59" s="72">
        <f>+O55+O54+O45</f>
        <v>4664.5999999999995</v>
      </c>
      <c r="P59" s="72">
        <f>+P55+P54+P45</f>
        <v>5400.3</v>
      </c>
      <c r="Q59" s="115">
        <f>+Q55+Q54+Q45</f>
        <v>5763</v>
      </c>
      <c r="R59" s="97"/>
      <c r="S59" s="72">
        <f>+S55+S54+S45</f>
        <v>5732.3</v>
      </c>
      <c r="T59" s="72">
        <f>+T55+T54+T45</f>
        <v>5445.7</v>
      </c>
      <c r="U59" s="72">
        <f>+U55+U54+U45</f>
        <v>6058.4</v>
      </c>
      <c r="V59" s="72"/>
      <c r="W59" s="97"/>
      <c r="X59" s="72"/>
      <c r="Y59" s="72"/>
      <c r="Z59" s="72"/>
      <c r="AA59" s="72"/>
      <c r="AB59" s="97"/>
      <c r="AC59" s="72"/>
      <c r="AD59" s="72"/>
      <c r="AE59" s="72"/>
      <c r="AF59" s="72"/>
      <c r="AG59" s="97"/>
      <c r="AH59" s="72"/>
      <c r="AI59" s="72"/>
      <c r="AJ59" s="72"/>
      <c r="AK59" s="72"/>
      <c r="AL59" s="97"/>
      <c r="AM59" s="72"/>
      <c r="AN59" s="72"/>
      <c r="AO59" s="72"/>
      <c r="AP59" s="72"/>
      <c r="AQ59" s="97"/>
      <c r="AR59" s="72"/>
      <c r="AS59" s="72"/>
      <c r="AT59" s="72"/>
      <c r="AU59" s="72"/>
      <c r="AV59" s="97"/>
    </row>
    <row r="60" spans="2:48" outlineLevel="1" x14ac:dyDescent="0.3">
      <c r="B60" s="414" t="s">
        <v>100</v>
      </c>
      <c r="C60" s="415"/>
      <c r="D60" s="105">
        <v>1351.3</v>
      </c>
      <c r="E60" s="105">
        <v>1220.5</v>
      </c>
      <c r="F60" s="105">
        <v>1324</v>
      </c>
      <c r="G60" s="105">
        <v>1278.9000000000001</v>
      </c>
      <c r="H60" s="130"/>
      <c r="I60" s="105">
        <v>1388.4</v>
      </c>
      <c r="J60" s="105">
        <v>1248.2</v>
      </c>
      <c r="K60" s="105">
        <v>805.6</v>
      </c>
      <c r="L60" s="48">
        <v>1158.3</v>
      </c>
      <c r="M60" s="76"/>
      <c r="N60" s="48">
        <v>1276.2</v>
      </c>
      <c r="O60" s="48">
        <v>1227.5999999999999</v>
      </c>
      <c r="P60" s="48">
        <v>1416.2</v>
      </c>
      <c r="Q60" s="105">
        <v>1580.3</v>
      </c>
      <c r="R60" s="76"/>
      <c r="S60" s="48">
        <v>1629.4</v>
      </c>
      <c r="T60" s="48">
        <v>1564</v>
      </c>
      <c r="U60" s="48">
        <v>1713.2</v>
      </c>
      <c r="V60" s="48"/>
      <c r="W60" s="76"/>
      <c r="X60" s="48"/>
      <c r="Y60" s="48"/>
      <c r="Z60" s="48"/>
      <c r="AA60" s="48"/>
      <c r="AB60" s="76"/>
      <c r="AC60" s="48"/>
      <c r="AD60" s="48"/>
      <c r="AE60" s="48"/>
      <c r="AF60" s="48"/>
      <c r="AG60" s="76"/>
      <c r="AH60" s="48"/>
      <c r="AI60" s="48"/>
      <c r="AJ60" s="48"/>
      <c r="AK60" s="48"/>
      <c r="AL60" s="76"/>
      <c r="AM60" s="48"/>
      <c r="AN60" s="48"/>
      <c r="AO60" s="48"/>
      <c r="AP60" s="48"/>
      <c r="AQ60" s="76"/>
      <c r="AR60" s="48"/>
      <c r="AS60" s="48"/>
      <c r="AT60" s="48"/>
      <c r="AU60" s="48"/>
      <c r="AV60" s="76"/>
    </row>
    <row r="61" spans="2:48" s="185" customFormat="1" outlineLevel="1" x14ac:dyDescent="0.3">
      <c r="B61" s="182" t="s">
        <v>152</v>
      </c>
      <c r="C61" s="186"/>
      <c r="D61" s="168">
        <f>D60/D59</f>
        <v>0.29296476964769647</v>
      </c>
      <c r="E61" s="168">
        <f t="shared" ref="E61:U61" si="48">E60/E59</f>
        <v>0.28290952921814511</v>
      </c>
      <c r="F61" s="168">
        <f t="shared" si="48"/>
        <v>0.28283950353549381</v>
      </c>
      <c r="G61" s="168">
        <f t="shared" si="48"/>
        <v>0.27494947757664362</v>
      </c>
      <c r="H61" s="187"/>
      <c r="I61" s="168">
        <f t="shared" si="48"/>
        <v>0.27707597437586068</v>
      </c>
      <c r="J61" s="168">
        <f t="shared" si="48"/>
        <v>0.28826789838337186</v>
      </c>
      <c r="K61" s="168">
        <f t="shared" si="48"/>
        <v>0.28715024059882377</v>
      </c>
      <c r="L61" s="188">
        <f t="shared" si="48"/>
        <v>0.27487600560051256</v>
      </c>
      <c r="M61" s="189"/>
      <c r="N61" s="188">
        <f t="shared" si="48"/>
        <v>0.27134716788569485</v>
      </c>
      <c r="O61" s="168">
        <f t="shared" si="48"/>
        <v>0.26317369120610556</v>
      </c>
      <c r="P61" s="168">
        <f t="shared" si="48"/>
        <v>0.26224469010980872</v>
      </c>
      <c r="Q61" s="168">
        <f t="shared" si="48"/>
        <v>0.27421481867083114</v>
      </c>
      <c r="R61" s="189"/>
      <c r="S61" s="188">
        <f t="shared" si="48"/>
        <v>0.28424890532595992</v>
      </c>
      <c r="T61" s="168">
        <f t="shared" si="48"/>
        <v>0.28719907449914611</v>
      </c>
      <c r="U61" s="168">
        <f t="shared" si="48"/>
        <v>0.28278093225934242</v>
      </c>
      <c r="V61" s="190"/>
      <c r="W61" s="189"/>
      <c r="X61" s="190"/>
      <c r="Y61" s="190"/>
      <c r="Z61" s="190"/>
      <c r="AA61" s="190"/>
      <c r="AB61" s="189"/>
      <c r="AC61" s="190"/>
      <c r="AD61" s="190"/>
      <c r="AE61" s="190"/>
      <c r="AF61" s="190"/>
      <c r="AG61" s="189"/>
      <c r="AH61" s="190"/>
      <c r="AI61" s="190"/>
      <c r="AJ61" s="190"/>
      <c r="AK61" s="190"/>
      <c r="AL61" s="189"/>
      <c r="AM61" s="190"/>
      <c r="AN61" s="190"/>
      <c r="AO61" s="190"/>
      <c r="AP61" s="190"/>
      <c r="AQ61" s="189"/>
      <c r="AR61" s="190"/>
      <c r="AS61" s="190"/>
      <c r="AT61" s="190"/>
      <c r="AU61" s="190"/>
      <c r="AV61" s="189"/>
    </row>
    <row r="62" spans="2:48" outlineLevel="1" x14ac:dyDescent="0.3">
      <c r="B62" s="181" t="s">
        <v>32</v>
      </c>
      <c r="C62" s="18"/>
      <c r="D62" s="48">
        <v>1983.1</v>
      </c>
      <c r="E62" s="48">
        <v>1935.7</v>
      </c>
      <c r="F62" s="48">
        <v>2034</v>
      </c>
      <c r="G62" s="48">
        <v>2112.1</v>
      </c>
      <c r="H62" s="49"/>
      <c r="I62" s="48">
        <v>2214.4</v>
      </c>
      <c r="J62" s="48">
        <v>2158.6</v>
      </c>
      <c r="K62" s="48">
        <v>2054.4</v>
      </c>
      <c r="L62" s="48">
        <v>2060.6999999999998</v>
      </c>
      <c r="M62" s="166"/>
      <c r="N62" s="48">
        <v>2238.8000000000002</v>
      </c>
      <c r="O62" s="48">
        <v>2203.1</v>
      </c>
      <c r="P62" s="48">
        <v>2346.8000000000002</v>
      </c>
      <c r="Q62" s="105">
        <v>2570.8000000000002</v>
      </c>
      <c r="R62" s="49"/>
      <c r="S62" s="48">
        <v>2702.4</v>
      </c>
      <c r="T62" s="48">
        <v>2625.4</v>
      </c>
      <c r="U62" s="48">
        <v>2670</v>
      </c>
      <c r="V62" s="48"/>
      <c r="W62" s="49"/>
      <c r="X62" s="48"/>
      <c r="Y62" s="48"/>
      <c r="Z62" s="48"/>
      <c r="AA62" s="48"/>
      <c r="AB62" s="49"/>
      <c r="AC62" s="48"/>
      <c r="AD62" s="48"/>
      <c r="AE62" s="48"/>
      <c r="AF62" s="48"/>
      <c r="AG62" s="49"/>
      <c r="AH62" s="48"/>
      <c r="AI62" s="48"/>
      <c r="AJ62" s="48"/>
      <c r="AK62" s="48"/>
      <c r="AL62" s="49"/>
      <c r="AM62" s="48"/>
      <c r="AN62" s="48"/>
      <c r="AO62" s="48"/>
      <c r="AP62" s="48"/>
      <c r="AQ62" s="49"/>
      <c r="AR62" s="48"/>
      <c r="AS62" s="48"/>
      <c r="AT62" s="48"/>
      <c r="AU62" s="48"/>
      <c r="AV62" s="49"/>
    </row>
    <row r="63" spans="2:48" s="185" customFormat="1" outlineLevel="1" x14ac:dyDescent="0.3">
      <c r="B63" s="182" t="s">
        <v>151</v>
      </c>
      <c r="C63" s="191"/>
      <c r="D63" s="188">
        <f>D62/D45</f>
        <v>0.48460485802257952</v>
      </c>
      <c r="E63" s="188">
        <f>E62/E45</f>
        <v>0.50283146300914383</v>
      </c>
      <c r="F63" s="188">
        <f>F62/F45</f>
        <v>0.48634689876141746</v>
      </c>
      <c r="G63" s="188">
        <f>G62/G45</f>
        <v>0.5072042649248355</v>
      </c>
      <c r="H63" s="189"/>
      <c r="I63" s="188">
        <f>I62/I45</f>
        <v>0.49528069783046302</v>
      </c>
      <c r="J63" s="188">
        <f>J62/J45</f>
        <v>0.55870172895744896</v>
      </c>
      <c r="K63" s="188">
        <f>K62/K45</f>
        <v>0.79971972439565575</v>
      </c>
      <c r="L63" s="188">
        <f>L62/L45</f>
        <v>0.53175238046086748</v>
      </c>
      <c r="M63" s="189"/>
      <c r="N63" s="188">
        <f>N62/N45</f>
        <v>0.52249813293502612</v>
      </c>
      <c r="O63" s="188">
        <f>O62/O45</f>
        <v>0.51614187986130633</v>
      </c>
      <c r="P63" s="188">
        <f>P62/P45</f>
        <v>0.47604365288652684</v>
      </c>
      <c r="Q63" s="168">
        <f>Q62/Q45</f>
        <v>0.48927545058333177</v>
      </c>
      <c r="R63" s="189"/>
      <c r="S63" s="188">
        <f>S62/S45</f>
        <v>0.51828695268598601</v>
      </c>
      <c r="T63" s="188">
        <f>T62/T45</f>
        <v>0.53185584344549564</v>
      </c>
      <c r="U63" s="188">
        <f>U62/U45</f>
        <v>0.48429224406878041</v>
      </c>
      <c r="V63" s="190"/>
      <c r="W63" s="189"/>
      <c r="X63" s="190"/>
      <c r="Y63" s="190"/>
      <c r="Z63" s="190"/>
      <c r="AA63" s="190"/>
      <c r="AB63" s="189"/>
      <c r="AC63" s="190"/>
      <c r="AD63" s="190"/>
      <c r="AE63" s="190"/>
      <c r="AF63" s="190"/>
      <c r="AG63" s="189"/>
      <c r="AH63" s="190"/>
      <c r="AI63" s="190"/>
      <c r="AJ63" s="190"/>
      <c r="AK63" s="190"/>
      <c r="AL63" s="189"/>
      <c r="AM63" s="190"/>
      <c r="AN63" s="190"/>
      <c r="AO63" s="190"/>
      <c r="AP63" s="190"/>
      <c r="AQ63" s="189"/>
      <c r="AR63" s="190"/>
      <c r="AS63" s="190"/>
      <c r="AT63" s="190"/>
      <c r="AU63" s="190"/>
      <c r="AV63" s="189"/>
    </row>
    <row r="64" spans="2:48" outlineLevel="1" x14ac:dyDescent="0.3">
      <c r="B64" s="181" t="s">
        <v>33</v>
      </c>
      <c r="C64" s="18"/>
      <c r="D64" s="48">
        <v>44.5</v>
      </c>
      <c r="E64" s="48">
        <v>39.4</v>
      </c>
      <c r="F64" s="48">
        <v>41.7</v>
      </c>
      <c r="G64" s="48">
        <v>34.200000000000003</v>
      </c>
      <c r="H64" s="49"/>
      <c r="I64" s="48">
        <v>42.5</v>
      </c>
      <c r="J64" s="48">
        <v>41.8</v>
      </c>
      <c r="K64" s="48">
        <v>40.700000000000003</v>
      </c>
      <c r="L64" s="48">
        <v>38</v>
      </c>
      <c r="M64" s="49"/>
      <c r="N64" s="48">
        <v>42.8</v>
      </c>
      <c r="O64" s="48">
        <v>41.9</v>
      </c>
      <c r="P64" s="48">
        <v>39.700000000000003</v>
      </c>
      <c r="Q64" s="105">
        <v>47.3</v>
      </c>
      <c r="R64" s="49"/>
      <c r="S64" s="48">
        <v>48.2</v>
      </c>
      <c r="T64" s="48">
        <v>47.1</v>
      </c>
      <c r="U64" s="48">
        <v>55.4</v>
      </c>
      <c r="V64" s="48"/>
      <c r="W64" s="49"/>
      <c r="X64" s="48"/>
      <c r="Y64" s="48"/>
      <c r="Z64" s="48"/>
      <c r="AA64" s="48"/>
      <c r="AB64" s="49"/>
      <c r="AC64" s="48"/>
      <c r="AD64" s="48"/>
      <c r="AE64" s="48"/>
      <c r="AF64" s="48"/>
      <c r="AG64" s="49"/>
      <c r="AH64" s="48"/>
      <c r="AI64" s="48"/>
      <c r="AJ64" s="48"/>
      <c r="AK64" s="48"/>
      <c r="AL64" s="49"/>
      <c r="AM64" s="48"/>
      <c r="AN64" s="48"/>
      <c r="AO64" s="48"/>
      <c r="AP64" s="48"/>
      <c r="AQ64" s="49"/>
      <c r="AR64" s="48"/>
      <c r="AS64" s="48"/>
      <c r="AT64" s="48"/>
      <c r="AU64" s="48"/>
      <c r="AV64" s="49"/>
    </row>
    <row r="65" spans="2:48" s="185" customFormat="1" outlineLevel="1" x14ac:dyDescent="0.3">
      <c r="B65" s="182" t="s">
        <v>153</v>
      </c>
      <c r="C65" s="191"/>
      <c r="D65" s="188">
        <f>D64/D59</f>
        <v>9.6476964769647705E-3</v>
      </c>
      <c r="E65" s="188">
        <f t="shared" ref="E65:U65" si="49">E64/E59</f>
        <v>9.1328434667717479E-3</v>
      </c>
      <c r="F65" s="188">
        <f t="shared" si="49"/>
        <v>8.908162611352034E-3</v>
      </c>
      <c r="G65" s="188">
        <f t="shared" si="49"/>
        <v>7.352625016124179E-3</v>
      </c>
      <c r="H65" s="189"/>
      <c r="I65" s="188">
        <f t="shared" si="49"/>
        <v>8.4815103075295863E-3</v>
      </c>
      <c r="J65" s="188">
        <f t="shared" si="49"/>
        <v>9.6535796766743648E-3</v>
      </c>
      <c r="K65" s="188">
        <f t="shared" si="49"/>
        <v>1.4507217964712174E-2</v>
      </c>
      <c r="L65" s="188">
        <f t="shared" si="49"/>
        <v>9.017774508175324E-3</v>
      </c>
      <c r="M65" s="189"/>
      <c r="N65" s="188">
        <f t="shared" si="49"/>
        <v>9.1001871066507915E-3</v>
      </c>
      <c r="O65" s="188">
        <f t="shared" si="49"/>
        <v>8.982549414740814E-3</v>
      </c>
      <c r="P65" s="188">
        <f t="shared" si="49"/>
        <v>7.3514434383275002E-3</v>
      </c>
      <c r="Q65" s="168">
        <f t="shared" si="49"/>
        <v>8.2075307999305916E-3</v>
      </c>
      <c r="R65" s="189"/>
      <c r="S65" s="188">
        <f t="shared" si="49"/>
        <v>8.4084922282504412E-3</v>
      </c>
      <c r="T65" s="188">
        <f t="shared" si="49"/>
        <v>8.6490258368988378E-3</v>
      </c>
      <c r="U65" s="188">
        <f t="shared" si="49"/>
        <v>9.1443285355869534E-3</v>
      </c>
      <c r="V65" s="190"/>
      <c r="W65" s="189"/>
      <c r="X65" s="190"/>
      <c r="Y65" s="190"/>
      <c r="Z65" s="190"/>
      <c r="AA65" s="190"/>
      <c r="AB65" s="189"/>
      <c r="AC65" s="190"/>
      <c r="AD65" s="190"/>
      <c r="AE65" s="190"/>
      <c r="AF65" s="190"/>
      <c r="AG65" s="189"/>
      <c r="AH65" s="190"/>
      <c r="AI65" s="190"/>
      <c r="AJ65" s="190"/>
      <c r="AK65" s="190"/>
      <c r="AL65" s="189"/>
      <c r="AM65" s="190"/>
      <c r="AN65" s="190"/>
      <c r="AO65" s="190"/>
      <c r="AP65" s="190"/>
      <c r="AQ65" s="189"/>
      <c r="AR65" s="190"/>
      <c r="AS65" s="190"/>
      <c r="AT65" s="190"/>
      <c r="AU65" s="190"/>
      <c r="AV65" s="189"/>
    </row>
    <row r="66" spans="2:48" outlineLevel="1" x14ac:dyDescent="0.3">
      <c r="B66" s="181" t="s">
        <v>34</v>
      </c>
      <c r="C66" s="18"/>
      <c r="D66" s="384">
        <v>166.9</v>
      </c>
      <c r="E66" s="384">
        <v>173</v>
      </c>
      <c r="F66" s="384">
        <v>175.6</v>
      </c>
      <c r="G66" s="384">
        <v>180.6</v>
      </c>
      <c r="H66" s="131"/>
      <c r="I66" s="384">
        <v>189.2</v>
      </c>
      <c r="J66" s="384">
        <v>191.5</v>
      </c>
      <c r="K66" s="384">
        <v>191.3</v>
      </c>
      <c r="L66" s="384">
        <v>190.1</v>
      </c>
      <c r="M66" s="385"/>
      <c r="N66" s="384">
        <v>188.9</v>
      </c>
      <c r="O66" s="384">
        <v>186</v>
      </c>
      <c r="P66" s="384">
        <v>188.9</v>
      </c>
      <c r="Q66" s="384">
        <v>189.9</v>
      </c>
      <c r="R66" s="171"/>
      <c r="S66" s="384">
        <v>200</v>
      </c>
      <c r="T66" s="384">
        <v>202</v>
      </c>
      <c r="U66" s="384">
        <v>201.2</v>
      </c>
      <c r="V66" s="384"/>
      <c r="W66" s="171"/>
      <c r="X66" s="384"/>
      <c r="Y66" s="384"/>
      <c r="Z66" s="384"/>
      <c r="AA66" s="384"/>
      <c r="AB66" s="171"/>
      <c r="AC66" s="384"/>
      <c r="AD66" s="384"/>
      <c r="AE66" s="384"/>
      <c r="AF66" s="384"/>
      <c r="AG66" s="171"/>
      <c r="AH66" s="384"/>
      <c r="AI66" s="384"/>
      <c r="AJ66" s="384"/>
      <c r="AK66" s="384"/>
      <c r="AL66" s="171"/>
      <c r="AM66" s="384"/>
      <c r="AN66" s="384"/>
      <c r="AO66" s="384"/>
      <c r="AP66" s="384"/>
      <c r="AQ66" s="171"/>
      <c r="AR66" s="384"/>
      <c r="AS66" s="384"/>
      <c r="AT66" s="384"/>
      <c r="AU66" s="384"/>
      <c r="AV66" s="171"/>
    </row>
    <row r="67" spans="2:48" outlineLevel="1" x14ac:dyDescent="0.3">
      <c r="B67" s="181" t="s">
        <v>35</v>
      </c>
      <c r="C67" s="18"/>
      <c r="D67" s="48">
        <v>75.099999999999994</v>
      </c>
      <c r="E67" s="48">
        <v>70.900000000000006</v>
      </c>
      <c r="F67" s="48">
        <v>72</v>
      </c>
      <c r="G67" s="48">
        <v>106</v>
      </c>
      <c r="H67" s="49"/>
      <c r="I67" s="48">
        <v>72.400000000000006</v>
      </c>
      <c r="J67" s="48">
        <v>68.2</v>
      </c>
      <c r="K67" s="48">
        <v>62.2</v>
      </c>
      <c r="L67" s="48">
        <v>65.2</v>
      </c>
      <c r="M67" s="166"/>
      <c r="N67" s="48">
        <v>70.8</v>
      </c>
      <c r="O67" s="48">
        <v>77.7</v>
      </c>
      <c r="P67" s="48">
        <v>73.2</v>
      </c>
      <c r="Q67" s="105">
        <v>78.400000000000006</v>
      </c>
      <c r="R67" s="49"/>
      <c r="S67" s="48">
        <v>76.7</v>
      </c>
      <c r="T67" s="48">
        <v>71.3</v>
      </c>
      <c r="U67" s="48">
        <v>76.5</v>
      </c>
      <c r="V67" s="48"/>
      <c r="W67" s="49"/>
      <c r="X67" s="48"/>
      <c r="Y67" s="48"/>
      <c r="Z67" s="48"/>
      <c r="AA67" s="48"/>
      <c r="AB67" s="49"/>
      <c r="AC67" s="48"/>
      <c r="AD67" s="48"/>
      <c r="AE67" s="48"/>
      <c r="AF67" s="48"/>
      <c r="AG67" s="49"/>
      <c r="AH67" s="48"/>
      <c r="AI67" s="48"/>
      <c r="AJ67" s="48"/>
      <c r="AK67" s="48"/>
      <c r="AL67" s="49"/>
      <c r="AM67" s="48"/>
      <c r="AN67" s="48"/>
      <c r="AO67" s="48"/>
      <c r="AP67" s="48"/>
      <c r="AQ67" s="49"/>
      <c r="AR67" s="48"/>
      <c r="AS67" s="48"/>
      <c r="AT67" s="48"/>
      <c r="AU67" s="48"/>
      <c r="AV67" s="49"/>
    </row>
    <row r="68" spans="2:48" s="185" customFormat="1" outlineLevel="1" x14ac:dyDescent="0.3">
      <c r="B68" s="182" t="s">
        <v>154</v>
      </c>
      <c r="C68" s="191"/>
      <c r="D68" s="188">
        <f>D67/D59</f>
        <v>1.6281842818428184E-2</v>
      </c>
      <c r="E68" s="188">
        <f t="shared" ref="E68:Q68" si="50">E67/E59</f>
        <v>1.6434482279038501E-2</v>
      </c>
      <c r="F68" s="188">
        <f t="shared" si="50"/>
        <v>1.5381000192262503E-2</v>
      </c>
      <c r="G68" s="188">
        <f t="shared" si="50"/>
        <v>2.2788837769273769E-2</v>
      </c>
      <c r="H68" s="189"/>
      <c r="I68" s="188">
        <f t="shared" si="50"/>
        <v>1.4448502265062167E-2</v>
      </c>
      <c r="J68" s="188">
        <f t="shared" si="50"/>
        <v>1.5750577367205542E-2</v>
      </c>
      <c r="K68" s="188">
        <f t="shared" si="50"/>
        <v>2.2170736054179293E-2</v>
      </c>
      <c r="L68" s="188">
        <f t="shared" si="50"/>
        <v>1.5472602577185029E-2</v>
      </c>
      <c r="M68" s="189"/>
      <c r="N68" s="188">
        <f t="shared" si="50"/>
        <v>1.5053580540908319E-2</v>
      </c>
      <c r="O68" s="188">
        <f t="shared" si="50"/>
        <v>1.6657376838314114E-2</v>
      </c>
      <c r="P68" s="188">
        <f t="shared" si="50"/>
        <v>1.3554802510971613E-2</v>
      </c>
      <c r="Q68" s="168">
        <f t="shared" si="50"/>
        <v>1.3604025681068889E-2</v>
      </c>
      <c r="R68" s="189"/>
      <c r="S68" s="188">
        <f t="shared" ref="S68:U68" si="51">S67/S59</f>
        <v>1.3380318545784415E-2</v>
      </c>
      <c r="T68" s="188">
        <f t="shared" si="51"/>
        <v>1.3092898984519897E-2</v>
      </c>
      <c r="U68" s="188">
        <f t="shared" si="51"/>
        <v>1.2627096263039747E-2</v>
      </c>
      <c r="V68" s="190"/>
      <c r="W68" s="189"/>
      <c r="X68" s="190"/>
      <c r="Y68" s="190"/>
      <c r="Z68" s="190"/>
      <c r="AA68" s="190"/>
      <c r="AB68" s="189"/>
      <c r="AC68" s="190"/>
      <c r="AD68" s="190"/>
      <c r="AE68" s="190"/>
      <c r="AF68" s="190"/>
      <c r="AG68" s="189"/>
      <c r="AH68" s="190"/>
      <c r="AI68" s="190"/>
      <c r="AJ68" s="190"/>
      <c r="AK68" s="190"/>
      <c r="AL68" s="189"/>
      <c r="AM68" s="190"/>
      <c r="AN68" s="190"/>
      <c r="AO68" s="190"/>
      <c r="AP68" s="190"/>
      <c r="AQ68" s="189"/>
      <c r="AR68" s="190"/>
      <c r="AS68" s="190"/>
      <c r="AT68" s="190"/>
      <c r="AU68" s="190"/>
      <c r="AV68" s="189"/>
    </row>
    <row r="69" spans="2:48" ht="16.2" outlineLevel="1" x14ac:dyDescent="0.45">
      <c r="B69" s="181" t="s">
        <v>42</v>
      </c>
      <c r="C69" s="18"/>
      <c r="D69" s="119">
        <v>22.9</v>
      </c>
      <c r="E69" s="119">
        <v>18.2</v>
      </c>
      <c r="F69" s="119">
        <v>15.1</v>
      </c>
      <c r="G69" s="119">
        <v>0.7</v>
      </c>
      <c r="H69" s="132"/>
      <c r="I69" s="119">
        <v>5.2</v>
      </c>
      <c r="J69" s="119">
        <v>0.5</v>
      </c>
      <c r="K69" s="119">
        <v>56.2</v>
      </c>
      <c r="L69" s="119">
        <v>195.6</v>
      </c>
      <c r="M69" s="383"/>
      <c r="N69" s="119">
        <v>72.2</v>
      </c>
      <c r="O69" s="119">
        <v>23</v>
      </c>
      <c r="P69" s="119">
        <v>19.8</v>
      </c>
      <c r="Q69" s="119">
        <v>40.5</v>
      </c>
      <c r="R69" s="174"/>
      <c r="S69" s="119">
        <v>-7.5</v>
      </c>
      <c r="T69" s="119">
        <v>4.4000000000000004</v>
      </c>
      <c r="U69" s="119">
        <v>12</v>
      </c>
      <c r="V69" s="123"/>
      <c r="W69" s="174"/>
      <c r="X69" s="123"/>
      <c r="Y69" s="123"/>
      <c r="Z69" s="123"/>
      <c r="AA69" s="123"/>
      <c r="AB69" s="174"/>
      <c r="AC69" s="123"/>
      <c r="AD69" s="123"/>
      <c r="AE69" s="123"/>
      <c r="AF69" s="123"/>
      <c r="AG69" s="174"/>
      <c r="AH69" s="123"/>
      <c r="AI69" s="123"/>
      <c r="AJ69" s="123"/>
      <c r="AK69" s="123"/>
      <c r="AL69" s="174"/>
      <c r="AM69" s="123"/>
      <c r="AN69" s="123"/>
      <c r="AO69" s="123"/>
      <c r="AP69" s="123"/>
      <c r="AQ69" s="174"/>
      <c r="AR69" s="123"/>
      <c r="AS69" s="123"/>
      <c r="AT69" s="123"/>
      <c r="AU69" s="123"/>
      <c r="AV69" s="174"/>
    </row>
    <row r="70" spans="2:48" outlineLevel="1" x14ac:dyDescent="0.3">
      <c r="B70" s="46" t="s">
        <v>184</v>
      </c>
      <c r="C70" s="19"/>
      <c r="D70" s="103">
        <f>+D60+D62+D64+D66+D67+D69</f>
        <v>3643.7999999999997</v>
      </c>
      <c r="E70" s="103">
        <f t="shared" ref="E70:G70" si="52">+E60+E62+E64+E66+E67+E69</f>
        <v>3457.7</v>
      </c>
      <c r="F70" s="103">
        <f t="shared" si="52"/>
        <v>3662.3999999999996</v>
      </c>
      <c r="G70" s="103">
        <f t="shared" si="52"/>
        <v>3712.4999999999995</v>
      </c>
      <c r="H70" s="167">
        <f>+H60+H62+H64+H66+H67+H69</f>
        <v>0</v>
      </c>
      <c r="I70" s="103">
        <f t="shared" ref="I70:L70" si="53">+I60+I62+I64+I66+I67+I69</f>
        <v>3912.1</v>
      </c>
      <c r="J70" s="103">
        <f t="shared" si="53"/>
        <v>3708.8</v>
      </c>
      <c r="K70" s="103">
        <f t="shared" si="53"/>
        <v>3210.3999999999996</v>
      </c>
      <c r="L70" s="50">
        <f t="shared" si="53"/>
        <v>3707.8999999999996</v>
      </c>
      <c r="M70" s="192"/>
      <c r="N70" s="50">
        <f t="shared" ref="N70:Q70" si="54">+N60+N62+N64+N66+N67+N69</f>
        <v>3889.7000000000003</v>
      </c>
      <c r="O70" s="50">
        <f t="shared" si="54"/>
        <v>3759.2999999999997</v>
      </c>
      <c r="P70" s="50">
        <f t="shared" si="54"/>
        <v>4084.6</v>
      </c>
      <c r="Q70" s="103">
        <f t="shared" si="54"/>
        <v>4507.2</v>
      </c>
      <c r="R70" s="192"/>
      <c r="S70" s="50">
        <f>+S60+S62+S64+S66+S67+S69</f>
        <v>4649.2</v>
      </c>
      <c r="T70" s="50">
        <f t="shared" ref="T70:AK70" si="55">+T60+T62+T64+T66+T67+T69</f>
        <v>4514.2</v>
      </c>
      <c r="U70" s="50">
        <f t="shared" si="55"/>
        <v>4728.2999999999993</v>
      </c>
      <c r="V70" s="50"/>
      <c r="W70" s="192"/>
      <c r="X70" s="50"/>
      <c r="Y70" s="50"/>
      <c r="Z70" s="50"/>
      <c r="AA70" s="50"/>
      <c r="AB70" s="192"/>
      <c r="AC70" s="50"/>
      <c r="AD70" s="50"/>
      <c r="AE70" s="50"/>
      <c r="AF70" s="50"/>
      <c r="AG70" s="192"/>
      <c r="AH70" s="50"/>
      <c r="AI70" s="50"/>
      <c r="AJ70" s="50"/>
      <c r="AK70" s="50"/>
      <c r="AL70" s="192"/>
      <c r="AM70" s="50"/>
      <c r="AN70" s="50"/>
      <c r="AO70" s="50"/>
      <c r="AP70" s="50"/>
      <c r="AQ70" s="192"/>
      <c r="AR70" s="50"/>
      <c r="AS70" s="50"/>
      <c r="AT70" s="50"/>
      <c r="AU70" s="50"/>
      <c r="AV70" s="192"/>
    </row>
    <row r="71" spans="2:48" outlineLevel="1" x14ac:dyDescent="0.3">
      <c r="B71" s="46" t="s">
        <v>185</v>
      </c>
      <c r="C71" s="44"/>
      <c r="D71" s="157">
        <f t="shared" ref="D71:G71" si="56">+D59-D70</f>
        <v>968.70000000000027</v>
      </c>
      <c r="E71" s="157">
        <f t="shared" si="56"/>
        <v>856.40000000000055</v>
      </c>
      <c r="F71" s="157">
        <f t="shared" si="56"/>
        <v>1018.6999999999998</v>
      </c>
      <c r="G71" s="157">
        <f t="shared" si="56"/>
        <v>938.90000000000009</v>
      </c>
      <c r="H71" s="133">
        <f>SUM(D71:G71)</f>
        <v>3782.7000000000007</v>
      </c>
      <c r="I71" s="157">
        <f t="shared" ref="I71:L71" si="57">+I59-I70</f>
        <v>1098.7999999999997</v>
      </c>
      <c r="J71" s="157">
        <f t="shared" si="57"/>
        <v>621.19999999999982</v>
      </c>
      <c r="K71" s="157">
        <f t="shared" si="57"/>
        <v>-404.89999999999964</v>
      </c>
      <c r="L71" s="74">
        <f t="shared" si="57"/>
        <v>506.00000000000091</v>
      </c>
      <c r="M71" s="97"/>
      <c r="N71" s="74">
        <f>+N59-N70</f>
        <v>813.49999999999955</v>
      </c>
      <c r="O71" s="74">
        <f t="shared" ref="O71:Q71" si="58">+O59-O70</f>
        <v>905.29999999999973</v>
      </c>
      <c r="P71" s="74">
        <f t="shared" si="58"/>
        <v>1315.7000000000003</v>
      </c>
      <c r="Q71" s="74">
        <f t="shared" si="58"/>
        <v>1255.8000000000002</v>
      </c>
      <c r="R71" s="97"/>
      <c r="S71" s="74">
        <f t="shared" ref="S71:V71" si="59">+S59-S70</f>
        <v>1083.1000000000004</v>
      </c>
      <c r="T71" s="74">
        <f t="shared" si="59"/>
        <v>931.5</v>
      </c>
      <c r="U71" s="74">
        <f t="shared" si="59"/>
        <v>1330.1000000000004</v>
      </c>
      <c r="V71" s="74"/>
      <c r="W71" s="97"/>
      <c r="X71" s="74"/>
      <c r="Y71" s="74"/>
      <c r="Z71" s="74"/>
      <c r="AA71" s="74"/>
      <c r="AB71" s="97"/>
      <c r="AC71" s="74"/>
      <c r="AD71" s="74"/>
      <c r="AE71" s="74"/>
      <c r="AF71" s="74"/>
      <c r="AG71" s="97"/>
      <c r="AH71" s="74"/>
      <c r="AI71" s="74"/>
      <c r="AJ71" s="74"/>
      <c r="AK71" s="74"/>
      <c r="AL71" s="97"/>
      <c r="AM71" s="74"/>
      <c r="AN71" s="74"/>
      <c r="AO71" s="74"/>
      <c r="AP71" s="74"/>
      <c r="AQ71" s="97"/>
      <c r="AR71" s="74"/>
      <c r="AS71" s="74"/>
      <c r="AT71" s="74"/>
      <c r="AU71" s="74"/>
      <c r="AV71" s="97"/>
    </row>
    <row r="72" spans="2:48" outlineLevel="1" x14ac:dyDescent="0.3">
      <c r="B72" s="46" t="s">
        <v>186</v>
      </c>
      <c r="C72" s="44"/>
      <c r="D72" s="158">
        <f t="shared" ref="D72:G72" si="60">+D71/D59</f>
        <v>0.21001626016260169</v>
      </c>
      <c r="E72" s="158">
        <f t="shared" si="60"/>
        <v>0.19851185647064287</v>
      </c>
      <c r="F72" s="158">
        <f t="shared" si="60"/>
        <v>0.21761979022024736</v>
      </c>
      <c r="G72" s="158">
        <f t="shared" si="60"/>
        <v>0.20185320548652022</v>
      </c>
      <c r="H72" s="134">
        <f>H71/H59</f>
        <v>0.20716793270205</v>
      </c>
      <c r="I72" s="158">
        <f t="shared" ref="I72:L72" si="61">+I71/I59</f>
        <v>0.21928196531561192</v>
      </c>
      <c r="J72" s="158">
        <f t="shared" si="61"/>
        <v>0.14346420323325632</v>
      </c>
      <c r="K72" s="158">
        <f t="shared" si="61"/>
        <v>-0.14432364997326666</v>
      </c>
      <c r="L72" s="75">
        <f t="shared" si="61"/>
        <v>0.12007878687201899</v>
      </c>
      <c r="M72" s="98"/>
      <c r="N72" s="75">
        <f>+N71/N59</f>
        <v>0.17296734138458913</v>
      </c>
      <c r="O72" s="75">
        <f t="shared" ref="O72:Q72" si="62">+O71/O59</f>
        <v>0.19407880632851687</v>
      </c>
      <c r="P72" s="75">
        <f t="shared" si="62"/>
        <v>0.24363461289187641</v>
      </c>
      <c r="Q72" s="75">
        <f t="shared" si="62"/>
        <v>0.21790733992712133</v>
      </c>
      <c r="R72" s="98"/>
      <c r="S72" s="75">
        <f t="shared" ref="S72:V72" si="63">+S71/S59</f>
        <v>0.188946845070914</v>
      </c>
      <c r="T72" s="75">
        <f t="shared" si="63"/>
        <v>0.17105238995905026</v>
      </c>
      <c r="U72" s="75">
        <f t="shared" si="63"/>
        <v>0.21954641489502186</v>
      </c>
      <c r="V72" s="75"/>
      <c r="W72" s="98"/>
      <c r="X72" s="75"/>
      <c r="Y72" s="75"/>
      <c r="Z72" s="75"/>
      <c r="AA72" s="75"/>
      <c r="AB72" s="98"/>
      <c r="AC72" s="75"/>
      <c r="AD72" s="75"/>
      <c r="AE72" s="75"/>
      <c r="AF72" s="75"/>
      <c r="AG72" s="98"/>
      <c r="AH72" s="75"/>
      <c r="AI72" s="75"/>
      <c r="AJ72" s="75"/>
      <c r="AK72" s="75"/>
      <c r="AL72" s="98"/>
      <c r="AM72" s="75"/>
      <c r="AN72" s="75"/>
      <c r="AO72" s="75"/>
      <c r="AP72" s="75"/>
      <c r="AQ72" s="98"/>
      <c r="AR72" s="75"/>
      <c r="AS72" s="75"/>
      <c r="AT72" s="75"/>
      <c r="AU72" s="75"/>
      <c r="AV72" s="98"/>
    </row>
    <row r="73" spans="2:48" ht="17.399999999999999" x14ac:dyDescent="0.45">
      <c r="B73" s="388" t="s">
        <v>114</v>
      </c>
      <c r="C73" s="389"/>
      <c r="D73" s="14" t="s">
        <v>19</v>
      </c>
      <c r="E73" s="14" t="s">
        <v>81</v>
      </c>
      <c r="F73" s="14" t="s">
        <v>85</v>
      </c>
      <c r="G73" s="14" t="s">
        <v>95</v>
      </c>
      <c r="H73" s="40" t="s">
        <v>96</v>
      </c>
      <c r="I73" s="14" t="s">
        <v>97</v>
      </c>
      <c r="J73" s="14" t="s">
        <v>98</v>
      </c>
      <c r="K73" s="14" t="s">
        <v>99</v>
      </c>
      <c r="L73" s="14" t="s">
        <v>143</v>
      </c>
      <c r="M73" s="40" t="s">
        <v>144</v>
      </c>
      <c r="N73" s="14" t="s">
        <v>150</v>
      </c>
      <c r="O73" s="14" t="s">
        <v>158</v>
      </c>
      <c r="P73" s="14" t="s">
        <v>160</v>
      </c>
      <c r="Q73" s="14" t="s">
        <v>173</v>
      </c>
      <c r="R73" s="40" t="s">
        <v>174</v>
      </c>
      <c r="S73" s="14" t="s">
        <v>189</v>
      </c>
      <c r="T73" s="14" t="s">
        <v>190</v>
      </c>
      <c r="U73" s="14" t="s">
        <v>205</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165</v>
      </c>
      <c r="AN73" s="12" t="s">
        <v>166</v>
      </c>
      <c r="AO73" s="12" t="s">
        <v>167</v>
      </c>
      <c r="AP73" s="12" t="s">
        <v>168</v>
      </c>
      <c r="AQ73" s="42" t="s">
        <v>169</v>
      </c>
      <c r="AR73" s="12" t="s">
        <v>196</v>
      </c>
      <c r="AS73" s="12" t="s">
        <v>197</v>
      </c>
      <c r="AT73" s="12" t="s">
        <v>198</v>
      </c>
      <c r="AU73" s="12" t="s">
        <v>199</v>
      </c>
      <c r="AV73" s="42" t="s">
        <v>200</v>
      </c>
    </row>
    <row r="74" spans="2:48" s="8" customFormat="1" outlineLevel="1" x14ac:dyDescent="0.3">
      <c r="B74" s="406" t="s">
        <v>115</v>
      </c>
      <c r="C74" s="407"/>
      <c r="D74" s="21">
        <v>5839</v>
      </c>
      <c r="E74" s="21">
        <v>5879</v>
      </c>
      <c r="F74" s="116">
        <v>5646</v>
      </c>
      <c r="G74" s="21">
        <v>5860</v>
      </c>
      <c r="H74" s="192">
        <f>G74</f>
        <v>5860</v>
      </c>
      <c r="I74" s="21">
        <v>6059</v>
      </c>
      <c r="J74" s="21">
        <v>6137</v>
      </c>
      <c r="K74" s="21">
        <v>6254</v>
      </c>
      <c r="L74" s="21">
        <v>6528</v>
      </c>
      <c r="M74" s="192">
        <f>L74</f>
        <v>6528</v>
      </c>
      <c r="N74" s="21">
        <v>6713</v>
      </c>
      <c r="O74" s="21">
        <f>+N74+O75</f>
        <v>6836</v>
      </c>
      <c r="P74" s="21">
        <f t="shared" ref="P74:Q74" si="64">+O74+P75</f>
        <v>7013</v>
      </c>
      <c r="Q74" s="21">
        <f t="shared" si="64"/>
        <v>7272</v>
      </c>
      <c r="R74" s="192">
        <f>Q74</f>
        <v>7272</v>
      </c>
      <c r="S74" s="21">
        <f>+Q74+S75</f>
        <v>7485</v>
      </c>
      <c r="T74" s="21">
        <f>+S74+T75</f>
        <v>7587</v>
      </c>
      <c r="U74" s="21">
        <f t="shared" ref="U74:V74" si="65">+T74+U75</f>
        <v>7717</v>
      </c>
      <c r="V74" s="21"/>
      <c r="W74" s="192"/>
      <c r="X74" s="21"/>
      <c r="Y74" s="21"/>
      <c r="Z74" s="21"/>
      <c r="AA74" s="21"/>
      <c r="AB74" s="192"/>
      <c r="AC74" s="21"/>
      <c r="AD74" s="21"/>
      <c r="AE74" s="21"/>
      <c r="AF74" s="21"/>
      <c r="AG74" s="192"/>
      <c r="AH74" s="21"/>
      <c r="AI74" s="21"/>
      <c r="AJ74" s="21"/>
      <c r="AK74" s="21"/>
      <c r="AL74" s="192"/>
      <c r="AM74" s="21"/>
      <c r="AN74" s="21"/>
      <c r="AO74" s="21"/>
      <c r="AP74" s="21"/>
      <c r="AQ74" s="192"/>
      <c r="AR74" s="21"/>
      <c r="AS74" s="21"/>
      <c r="AT74" s="21"/>
      <c r="AU74" s="21"/>
      <c r="AV74" s="192"/>
    </row>
    <row r="75" spans="2:48" outlineLevel="1" x14ac:dyDescent="0.3">
      <c r="B75" s="181" t="s">
        <v>46</v>
      </c>
      <c r="C75" s="211"/>
      <c r="D75" s="101">
        <f>+D74-5651</f>
        <v>188</v>
      </c>
      <c r="E75" s="101">
        <f>+E74-D74</f>
        <v>40</v>
      </c>
      <c r="F75" s="101">
        <f t="shared" ref="F75:G75" si="66">+F74-E74</f>
        <v>-233</v>
      </c>
      <c r="G75" s="101">
        <f t="shared" si="66"/>
        <v>214</v>
      </c>
      <c r="H75" s="26">
        <f>+SUM(D75:G75)</f>
        <v>209</v>
      </c>
      <c r="I75" s="101">
        <f>+I74-G74</f>
        <v>199</v>
      </c>
      <c r="J75" s="101">
        <f t="shared" ref="J75:L75" si="67">+J74-I74</f>
        <v>78</v>
      </c>
      <c r="K75" s="101">
        <f t="shared" si="67"/>
        <v>117</v>
      </c>
      <c r="L75" s="101">
        <f t="shared" si="67"/>
        <v>274</v>
      </c>
      <c r="M75" s="26">
        <f>+SUM(I75:L75)</f>
        <v>668</v>
      </c>
      <c r="N75" s="101">
        <v>185</v>
      </c>
      <c r="O75" s="101">
        <v>123</v>
      </c>
      <c r="P75" s="101">
        <v>177</v>
      </c>
      <c r="Q75" s="101">
        <v>259</v>
      </c>
      <c r="R75" s="26">
        <f>+SUM(N75:Q75)</f>
        <v>744</v>
      </c>
      <c r="S75" s="101">
        <v>213</v>
      </c>
      <c r="T75" s="101">
        <v>102</v>
      </c>
      <c r="U75" s="101">
        <v>130</v>
      </c>
      <c r="V75" s="33"/>
      <c r="W75" s="122"/>
      <c r="X75" s="33"/>
      <c r="Y75" s="33"/>
      <c r="Z75" s="33"/>
      <c r="AA75" s="33"/>
      <c r="AB75" s="26"/>
      <c r="AC75" s="33"/>
      <c r="AD75" s="33"/>
      <c r="AE75" s="33"/>
      <c r="AF75" s="33"/>
      <c r="AG75" s="26"/>
      <c r="AH75" s="33"/>
      <c r="AI75" s="33"/>
      <c r="AJ75" s="33"/>
      <c r="AK75" s="33"/>
      <c r="AL75" s="26"/>
      <c r="AM75" s="33"/>
      <c r="AN75" s="33"/>
      <c r="AO75" s="33"/>
      <c r="AP75" s="33"/>
      <c r="AQ75" s="26"/>
      <c r="AR75" s="33"/>
      <c r="AS75" s="33"/>
      <c r="AT75" s="33"/>
      <c r="AU75" s="33"/>
      <c r="AV75" s="26"/>
    </row>
    <row r="76" spans="2:48" outlineLevel="1" x14ac:dyDescent="0.3">
      <c r="B76" s="181" t="s">
        <v>202</v>
      </c>
      <c r="C76" s="211"/>
      <c r="D76" s="101"/>
      <c r="E76" s="101">
        <f>AVERAGE(D74,E74)</f>
        <v>5859</v>
      </c>
      <c r="F76" s="101">
        <f t="shared" ref="F76:G76" si="68">AVERAGE(E74,F74)</f>
        <v>5762.5</v>
      </c>
      <c r="G76" s="101">
        <f t="shared" si="68"/>
        <v>5753</v>
      </c>
      <c r="H76" s="26"/>
      <c r="I76" s="101">
        <f>AVERAGE(G74,I74)</f>
        <v>5959.5</v>
      </c>
      <c r="J76" s="101">
        <f t="shared" ref="J76:L76" si="69">AVERAGE(I74,J74)</f>
        <v>6098</v>
      </c>
      <c r="K76" s="101">
        <f t="shared" si="69"/>
        <v>6195.5</v>
      </c>
      <c r="L76" s="101">
        <f t="shared" si="69"/>
        <v>6391</v>
      </c>
      <c r="M76" s="26"/>
      <c r="N76" s="101">
        <f>AVERAGE(L74,N74)</f>
        <v>6620.5</v>
      </c>
      <c r="O76" s="101">
        <f t="shared" ref="O76:Q76" si="70">AVERAGE(N74,O74)</f>
        <v>6774.5</v>
      </c>
      <c r="P76" s="101">
        <f t="shared" si="70"/>
        <v>6924.5</v>
      </c>
      <c r="Q76" s="101">
        <f t="shared" si="70"/>
        <v>7142.5</v>
      </c>
      <c r="R76" s="26"/>
      <c r="S76" s="101">
        <f>AVERAGE(Q74,S74)</f>
        <v>7378.5</v>
      </c>
      <c r="T76" s="101">
        <f>AVERAGE(S74,T74)</f>
        <v>7536</v>
      </c>
      <c r="U76" s="101">
        <f t="shared" ref="U76:V76" si="71">AVERAGE(T74,U74)</f>
        <v>7652</v>
      </c>
      <c r="V76" s="101"/>
      <c r="W76" s="122"/>
      <c r="X76" s="101"/>
      <c r="Y76" s="101"/>
      <c r="Z76" s="101"/>
      <c r="AA76" s="101"/>
      <c r="AB76" s="26"/>
      <c r="AC76" s="101"/>
      <c r="AD76" s="101"/>
      <c r="AE76" s="101"/>
      <c r="AF76" s="101"/>
      <c r="AG76" s="26"/>
      <c r="AH76" s="101"/>
      <c r="AI76" s="101"/>
      <c r="AJ76" s="101"/>
      <c r="AK76" s="101"/>
      <c r="AL76" s="26"/>
      <c r="AM76" s="101"/>
      <c r="AN76" s="101"/>
      <c r="AO76" s="101"/>
      <c r="AP76" s="101"/>
      <c r="AQ76" s="26"/>
      <c r="AR76" s="101"/>
      <c r="AS76" s="101"/>
      <c r="AT76" s="101"/>
      <c r="AU76" s="101"/>
      <c r="AV76" s="26"/>
    </row>
    <row r="77" spans="2:48" s="20" customFormat="1" outlineLevel="1" x14ac:dyDescent="0.3">
      <c r="B77" s="181" t="s">
        <v>207</v>
      </c>
      <c r="C77" s="216"/>
      <c r="D77" s="43"/>
      <c r="E77" s="43">
        <f>+E78/E76</f>
        <v>0.22348523638846221</v>
      </c>
      <c r="F77" s="114">
        <f>+F78/F76</f>
        <v>0.2347592190889371</v>
      </c>
      <c r="G77" s="43">
        <f>+G78/G76</f>
        <v>0.22873283504258649</v>
      </c>
      <c r="H77" s="97"/>
      <c r="I77" s="43">
        <f>+I78/I76</f>
        <v>0.21976675895628828</v>
      </c>
      <c r="J77" s="43">
        <f>+J78/J76</f>
        <v>0.14798294522794359</v>
      </c>
      <c r="K77" s="43">
        <f>+K78/K76</f>
        <v>0.14131224275683965</v>
      </c>
      <c r="L77" s="43">
        <f>+L78/L76</f>
        <v>0.20314504772336098</v>
      </c>
      <c r="M77" s="97"/>
      <c r="N77" s="43">
        <f>+N78/N76</f>
        <v>0.21776300883619062</v>
      </c>
      <c r="O77" s="43">
        <f>+O78/O76</f>
        <v>0.20439884862351465</v>
      </c>
      <c r="P77" s="43">
        <f>+P78/P76</f>
        <v>0.20698967434471802</v>
      </c>
      <c r="Q77" s="43">
        <f>+Q78/Q76</f>
        <v>0.22541127056352817</v>
      </c>
      <c r="R77" s="97"/>
      <c r="S77" s="43">
        <f>+S78/S76</f>
        <v>0.20441824219014704</v>
      </c>
      <c r="T77" s="43">
        <f>+T78/T76</f>
        <v>0.17786624203821658</v>
      </c>
      <c r="U77" s="43">
        <f>+U78/U76</f>
        <v>0.15189492943021432</v>
      </c>
      <c r="V77" s="62"/>
      <c r="W77" s="133"/>
      <c r="X77" s="62"/>
      <c r="Y77" s="62"/>
      <c r="Z77" s="62"/>
      <c r="AA77" s="62"/>
      <c r="AB77" s="97"/>
      <c r="AC77" s="62"/>
      <c r="AD77" s="62"/>
      <c r="AE77" s="62"/>
      <c r="AF77" s="62"/>
      <c r="AG77" s="97"/>
      <c r="AH77" s="62"/>
      <c r="AI77" s="62"/>
      <c r="AJ77" s="62"/>
      <c r="AK77" s="62"/>
      <c r="AL77" s="97"/>
      <c r="AM77" s="62"/>
      <c r="AN77" s="62"/>
      <c r="AO77" s="62"/>
      <c r="AP77" s="62"/>
      <c r="AQ77" s="97"/>
      <c r="AR77" s="62"/>
      <c r="AS77" s="62"/>
      <c r="AT77" s="62"/>
      <c r="AU77" s="62"/>
      <c r="AV77" s="97"/>
    </row>
    <row r="78" spans="2:48" s="8" customFormat="1" outlineLevel="1" x14ac:dyDescent="0.3">
      <c r="B78" s="394" t="s">
        <v>116</v>
      </c>
      <c r="C78" s="395"/>
      <c r="D78" s="50">
        <v>1278.0999999999999</v>
      </c>
      <c r="E78" s="50">
        <v>1309.4000000000001</v>
      </c>
      <c r="F78" s="103">
        <v>1352.8</v>
      </c>
      <c r="G78" s="50">
        <v>1315.9</v>
      </c>
      <c r="H78" s="97">
        <f>SUM(D78:G78)</f>
        <v>5256.2000000000007</v>
      </c>
      <c r="I78" s="50">
        <v>1309.7</v>
      </c>
      <c r="J78" s="50">
        <v>902.4</v>
      </c>
      <c r="K78" s="103">
        <v>875.5</v>
      </c>
      <c r="L78" s="50">
        <v>1298.3</v>
      </c>
      <c r="M78" s="97">
        <f>SUM(I78:L78)</f>
        <v>4385.8999999999996</v>
      </c>
      <c r="N78" s="50">
        <v>1441.7</v>
      </c>
      <c r="O78" s="50">
        <v>1384.7</v>
      </c>
      <c r="P78" s="50">
        <v>1433.3</v>
      </c>
      <c r="Q78" s="103">
        <v>1610</v>
      </c>
      <c r="R78" s="97">
        <f>SUM(N78:Q78)</f>
        <v>5869.7</v>
      </c>
      <c r="S78" s="50">
        <v>1508.3</v>
      </c>
      <c r="T78" s="50">
        <v>1340.4</v>
      </c>
      <c r="U78" s="50">
        <v>1162.3</v>
      </c>
      <c r="V78" s="50"/>
      <c r="W78" s="133"/>
      <c r="X78" s="50"/>
      <c r="Y78" s="50"/>
      <c r="Z78" s="50"/>
      <c r="AA78" s="50"/>
      <c r="AB78" s="97"/>
      <c r="AC78" s="50"/>
      <c r="AD78" s="50"/>
      <c r="AE78" s="50"/>
      <c r="AF78" s="50"/>
      <c r="AG78" s="97"/>
      <c r="AH78" s="50"/>
      <c r="AI78" s="50"/>
      <c r="AJ78" s="50"/>
      <c r="AK78" s="50"/>
      <c r="AL78" s="97"/>
      <c r="AM78" s="50"/>
      <c r="AN78" s="50"/>
      <c r="AO78" s="50"/>
      <c r="AP78" s="50"/>
      <c r="AQ78" s="97"/>
      <c r="AR78" s="50"/>
      <c r="AS78" s="50"/>
      <c r="AT78" s="50"/>
      <c r="AU78" s="50"/>
      <c r="AV78" s="97"/>
    </row>
    <row r="79" spans="2:48" s="8" customFormat="1" outlineLevel="1" x14ac:dyDescent="0.3">
      <c r="B79" s="38" t="s">
        <v>201</v>
      </c>
      <c r="C79" s="216"/>
      <c r="D79" s="43"/>
      <c r="E79" s="43"/>
      <c r="F79" s="43"/>
      <c r="G79" s="43"/>
      <c r="H79" s="97"/>
      <c r="I79" s="27">
        <f>I78/D78-1</f>
        <v>2.4724199984351936E-2</v>
      </c>
      <c r="J79" s="27">
        <f>J78/E78-1</f>
        <v>-0.31082938750572786</v>
      </c>
      <c r="K79" s="27">
        <f>K78/F78-1</f>
        <v>-0.35282377291543465</v>
      </c>
      <c r="L79" s="27">
        <f>L78/G78-1</f>
        <v>-1.3374876510373279E-2</v>
      </c>
      <c r="M79" s="97"/>
      <c r="N79" s="27">
        <f>N78/I78-1</f>
        <v>0.10078643964266631</v>
      </c>
      <c r="O79" s="27">
        <f>O78/J78-1</f>
        <v>0.53446365248226968</v>
      </c>
      <c r="P79" s="27">
        <f>P78/K78-1</f>
        <v>0.63712164477441457</v>
      </c>
      <c r="Q79" s="27">
        <f>Q78/L78-1</f>
        <v>0.24008318570438281</v>
      </c>
      <c r="R79" s="97"/>
      <c r="S79" s="27">
        <f>S78/N78-1</f>
        <v>4.6195463688700755E-2</v>
      </c>
      <c r="T79" s="27">
        <f>T78/O78-1</f>
        <v>-3.1992489347873132E-2</v>
      </c>
      <c r="U79" s="27">
        <f>U78/P78-1</f>
        <v>-0.18907416451545389</v>
      </c>
      <c r="V79" s="27"/>
      <c r="W79" s="133"/>
      <c r="X79" s="27"/>
      <c r="Y79" s="27"/>
      <c r="Z79" s="27"/>
      <c r="AA79" s="27"/>
      <c r="AB79" s="97"/>
      <c r="AC79" s="27"/>
      <c r="AD79" s="27"/>
      <c r="AE79" s="27"/>
      <c r="AF79" s="27"/>
      <c r="AG79" s="97"/>
      <c r="AH79" s="27"/>
      <c r="AI79" s="27"/>
      <c r="AJ79" s="27"/>
      <c r="AK79" s="27"/>
      <c r="AL79" s="97"/>
      <c r="AM79" s="27"/>
      <c r="AN79" s="27"/>
      <c r="AO79" s="27"/>
      <c r="AP79" s="27"/>
      <c r="AQ79" s="97"/>
      <c r="AR79" s="27"/>
      <c r="AS79" s="27"/>
      <c r="AT79" s="27"/>
      <c r="AU79" s="27"/>
      <c r="AV79" s="97"/>
    </row>
    <row r="80" spans="2:48" outlineLevel="1" x14ac:dyDescent="0.3">
      <c r="B80" s="247" t="s">
        <v>44</v>
      </c>
      <c r="C80" s="232"/>
      <c r="D80" s="233">
        <v>0.01</v>
      </c>
      <c r="E80" s="233">
        <v>0</v>
      </c>
      <c r="F80" s="233">
        <v>0.01</v>
      </c>
      <c r="G80" s="233">
        <v>0.01</v>
      </c>
      <c r="H80" s="234"/>
      <c r="I80" s="233">
        <v>-0.01</v>
      </c>
      <c r="J80" s="233">
        <v>-0.32</v>
      </c>
      <c r="K80" s="233">
        <v>-0.44</v>
      </c>
      <c r="L80" s="235">
        <v>-0.15</v>
      </c>
      <c r="M80" s="234"/>
      <c r="N80" s="233">
        <v>-0.03</v>
      </c>
      <c r="O80" s="233">
        <v>0.26</v>
      </c>
      <c r="P80" s="233">
        <v>0.55000000000000004</v>
      </c>
      <c r="Q80" s="233">
        <v>0.06</v>
      </c>
      <c r="R80" s="236"/>
      <c r="S80" s="235">
        <v>0.02</v>
      </c>
      <c r="T80" s="235">
        <v>-0.03</v>
      </c>
      <c r="U80" s="235">
        <v>-0.18</v>
      </c>
      <c r="V80" s="235"/>
      <c r="W80" s="234"/>
      <c r="X80" s="235"/>
      <c r="Y80" s="235"/>
      <c r="Z80" s="235"/>
      <c r="AA80" s="235"/>
      <c r="AB80" s="236"/>
      <c r="AC80" s="235"/>
      <c r="AD80" s="235"/>
      <c r="AE80" s="235"/>
      <c r="AF80" s="235"/>
      <c r="AG80" s="236"/>
      <c r="AH80" s="235"/>
      <c r="AI80" s="235"/>
      <c r="AJ80" s="235"/>
      <c r="AK80" s="235"/>
      <c r="AL80" s="236"/>
      <c r="AM80" s="235"/>
      <c r="AN80" s="235"/>
      <c r="AO80" s="235"/>
      <c r="AP80" s="235"/>
      <c r="AQ80" s="236"/>
      <c r="AR80" s="235"/>
      <c r="AS80" s="235"/>
      <c r="AT80" s="235"/>
      <c r="AU80" s="235"/>
      <c r="AV80" s="236"/>
    </row>
    <row r="81" spans="1:48" outlineLevel="1" x14ac:dyDescent="0.3">
      <c r="B81" s="181" t="s">
        <v>43</v>
      </c>
      <c r="C81" s="217"/>
      <c r="D81" s="152">
        <v>0.01</v>
      </c>
      <c r="E81" s="152">
        <v>0.02</v>
      </c>
      <c r="F81" s="152">
        <v>0.03</v>
      </c>
      <c r="G81" s="152">
        <v>0.03</v>
      </c>
      <c r="H81" s="60"/>
      <c r="I81" s="152">
        <v>0.02</v>
      </c>
      <c r="J81" s="152">
        <v>0.01</v>
      </c>
      <c r="K81" s="152">
        <v>0.13</v>
      </c>
      <c r="L81" s="59">
        <v>7.0000000000000007E-2</v>
      </c>
      <c r="M81" s="60"/>
      <c r="N81" s="152">
        <v>-0.1</v>
      </c>
      <c r="O81" s="59">
        <v>7.0000000000000007E-2</v>
      </c>
      <c r="P81" s="59">
        <v>-0.09</v>
      </c>
      <c r="Q81" s="152">
        <v>-0.02</v>
      </c>
      <c r="R81" s="60"/>
      <c r="S81" s="59">
        <v>-0.05</v>
      </c>
      <c r="T81" s="59">
        <v>-0.05</v>
      </c>
      <c r="U81" s="59">
        <v>-0.15</v>
      </c>
      <c r="V81" s="59"/>
      <c r="W81" s="149"/>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3">
      <c r="B82" s="218" t="s">
        <v>45</v>
      </c>
      <c r="C82" s="216"/>
      <c r="D82" s="153">
        <v>0.02</v>
      </c>
      <c r="E82" s="153">
        <v>0.02</v>
      </c>
      <c r="F82" s="153">
        <v>0.05</v>
      </c>
      <c r="G82" s="153">
        <v>0.03</v>
      </c>
      <c r="H82" s="61"/>
      <c r="I82" s="153">
        <v>0.01</v>
      </c>
      <c r="J82" s="153">
        <v>-0.31</v>
      </c>
      <c r="K82" s="153">
        <v>-0.37</v>
      </c>
      <c r="L82" s="158">
        <v>-0.1</v>
      </c>
      <c r="M82" s="61"/>
      <c r="N82" s="153">
        <v>0.08</v>
      </c>
      <c r="O82" s="153">
        <v>0.35</v>
      </c>
      <c r="P82" s="153">
        <v>0.41</v>
      </c>
      <c r="Q82" s="153">
        <v>0.03</v>
      </c>
      <c r="R82" s="61"/>
      <c r="S82" s="153">
        <v>-0.03</v>
      </c>
      <c r="T82" s="153">
        <v>-0.08</v>
      </c>
      <c r="U82" s="153">
        <v>-0.04</v>
      </c>
      <c r="V82" s="153"/>
      <c r="W82" s="135"/>
      <c r="X82" s="158"/>
      <c r="Y82" s="158"/>
      <c r="Z82" s="158"/>
      <c r="AA82" s="158"/>
      <c r="AB82" s="61"/>
      <c r="AC82" s="158"/>
      <c r="AD82" s="158"/>
      <c r="AE82" s="158"/>
      <c r="AF82" s="158"/>
      <c r="AG82" s="61"/>
      <c r="AH82" s="158"/>
      <c r="AI82" s="158"/>
      <c r="AJ82" s="158"/>
      <c r="AK82" s="158"/>
      <c r="AL82" s="61"/>
      <c r="AM82" s="158"/>
      <c r="AN82" s="158"/>
      <c r="AO82" s="158"/>
      <c r="AP82" s="158"/>
      <c r="AQ82" s="135"/>
      <c r="AR82" s="158"/>
      <c r="AS82" s="158"/>
      <c r="AT82" s="158"/>
      <c r="AU82" s="158"/>
      <c r="AV82" s="61"/>
    </row>
    <row r="83" spans="1:48" s="8" customFormat="1" outlineLevel="1" x14ac:dyDescent="0.3">
      <c r="B83" s="410" t="s">
        <v>117</v>
      </c>
      <c r="C83" s="411"/>
      <c r="D83" s="117">
        <v>6373</v>
      </c>
      <c r="E83" s="117">
        <v>6586</v>
      </c>
      <c r="F83" s="117">
        <v>7127</v>
      </c>
      <c r="G83" s="117">
        <v>7329</v>
      </c>
      <c r="H83" s="193">
        <f>G83</f>
        <v>7329</v>
      </c>
      <c r="I83" s="117">
        <v>7533</v>
      </c>
      <c r="J83" s="117">
        <v>7642</v>
      </c>
      <c r="K83" s="117">
        <v>7691</v>
      </c>
      <c r="L83" s="117">
        <v>9735</v>
      </c>
      <c r="M83" s="193">
        <f>L83</f>
        <v>9735</v>
      </c>
      <c r="N83" s="117">
        <v>7917</v>
      </c>
      <c r="O83" s="67">
        <f>+N83+O84</f>
        <v>7987</v>
      </c>
      <c r="P83" s="67">
        <f t="shared" ref="P83" si="72">+O83+P84</f>
        <v>8107</v>
      </c>
      <c r="Q83" s="67">
        <v>9735</v>
      </c>
      <c r="R83" s="193">
        <f>Q83</f>
        <v>9735</v>
      </c>
      <c r="S83" s="67">
        <f>+Q83+S84</f>
        <v>9944</v>
      </c>
      <c r="T83" s="67">
        <f>+S83+T84</f>
        <v>10117</v>
      </c>
      <c r="U83" s="67">
        <f t="shared" ref="U83:V83" si="73">+T83+U84</f>
        <v>10181</v>
      </c>
      <c r="V83" s="67"/>
      <c r="W83" s="264"/>
      <c r="X83" s="67"/>
      <c r="Y83" s="67"/>
      <c r="Z83" s="67"/>
      <c r="AA83" s="67"/>
      <c r="AB83" s="193"/>
      <c r="AC83" s="67"/>
      <c r="AD83" s="67"/>
      <c r="AE83" s="67"/>
      <c r="AF83" s="67"/>
      <c r="AG83" s="193"/>
      <c r="AH83" s="67"/>
      <c r="AI83" s="67"/>
      <c r="AJ83" s="67"/>
      <c r="AK83" s="67"/>
      <c r="AL83" s="193"/>
      <c r="AM83" s="67"/>
      <c r="AN83" s="67"/>
      <c r="AO83" s="67"/>
      <c r="AP83" s="67"/>
      <c r="AQ83" s="193"/>
      <c r="AR83" s="67"/>
      <c r="AS83" s="67"/>
      <c r="AT83" s="67"/>
      <c r="AU83" s="67"/>
      <c r="AV83" s="193"/>
    </row>
    <row r="84" spans="1:48" outlineLevel="1" x14ac:dyDescent="0.3">
      <c r="B84" s="181" t="s">
        <v>47</v>
      </c>
      <c r="C84" s="211"/>
      <c r="D84" s="101">
        <f>+D83-6201</f>
        <v>172</v>
      </c>
      <c r="E84" s="101">
        <f>+E83-D83</f>
        <v>213</v>
      </c>
      <c r="F84" s="101">
        <f t="shared" ref="F84:G84" si="74">+F83-E83</f>
        <v>541</v>
      </c>
      <c r="G84" s="101">
        <f t="shared" si="74"/>
        <v>202</v>
      </c>
      <c r="H84" s="122">
        <f>+SUM(D84:G84)</f>
        <v>1128</v>
      </c>
      <c r="I84" s="101">
        <f>+I83-G83</f>
        <v>204</v>
      </c>
      <c r="J84" s="101">
        <f t="shared" ref="J84:K84" si="75">+J83-I83</f>
        <v>109</v>
      </c>
      <c r="K84" s="101">
        <f t="shared" si="75"/>
        <v>49</v>
      </c>
      <c r="L84" s="101">
        <v>82</v>
      </c>
      <c r="M84" s="122">
        <f>+SUM(I84:L84)</f>
        <v>444</v>
      </c>
      <c r="N84" s="101">
        <v>139</v>
      </c>
      <c r="O84" s="101">
        <v>70</v>
      </c>
      <c r="P84" s="101">
        <v>120</v>
      </c>
      <c r="Q84" s="101">
        <v>205</v>
      </c>
      <c r="R84" s="122">
        <f>+SUM(N84:Q84)</f>
        <v>534</v>
      </c>
      <c r="S84" s="101">
        <v>209</v>
      </c>
      <c r="T84" s="101">
        <v>173</v>
      </c>
      <c r="U84" s="101">
        <v>64</v>
      </c>
      <c r="V84" s="33"/>
      <c r="W84" s="122"/>
      <c r="X84" s="33"/>
      <c r="Y84" s="33"/>
      <c r="Z84" s="33"/>
      <c r="AA84" s="33"/>
      <c r="AB84" s="122"/>
      <c r="AC84" s="33"/>
      <c r="AD84" s="33"/>
      <c r="AE84" s="33"/>
      <c r="AF84" s="33"/>
      <c r="AG84" s="122"/>
      <c r="AH84" s="33"/>
      <c r="AI84" s="33"/>
      <c r="AJ84" s="33"/>
      <c r="AK84" s="33"/>
      <c r="AL84" s="122"/>
      <c r="AM84" s="33"/>
      <c r="AN84" s="33"/>
      <c r="AO84" s="33"/>
      <c r="AP84" s="33"/>
      <c r="AQ84" s="122"/>
      <c r="AR84" s="33"/>
      <c r="AS84" s="33"/>
      <c r="AT84" s="33"/>
      <c r="AU84" s="33"/>
      <c r="AV84" s="122"/>
    </row>
    <row r="85" spans="1:48" outlineLevel="1" x14ac:dyDescent="0.3">
      <c r="B85" s="181" t="s">
        <v>49</v>
      </c>
      <c r="C85" s="211"/>
      <c r="D85" s="16">
        <f>AVERAGE(D83,6201)</f>
        <v>6287</v>
      </c>
      <c r="E85" s="16">
        <f>AVERAGE(E83,D83)</f>
        <v>6479.5</v>
      </c>
      <c r="F85" s="16">
        <f t="shared" ref="F85:G85" si="76">AVERAGE(F83,E83)</f>
        <v>6856.5</v>
      </c>
      <c r="G85" s="16">
        <f t="shared" si="76"/>
        <v>7228</v>
      </c>
      <c r="H85" s="26"/>
      <c r="I85" s="16">
        <f>AVERAGE(I83,G83)</f>
        <v>7431</v>
      </c>
      <c r="J85" s="16">
        <f>AVERAGE(J83,I83)</f>
        <v>7587.5</v>
      </c>
      <c r="K85" s="16">
        <f t="shared" ref="K85:L85" si="77">AVERAGE(K83,J83)</f>
        <v>7666.5</v>
      </c>
      <c r="L85" s="16">
        <f t="shared" si="77"/>
        <v>8713</v>
      </c>
      <c r="M85" s="6"/>
      <c r="N85" s="16">
        <f>AVERAGE(N83,L83)</f>
        <v>8826</v>
      </c>
      <c r="O85" s="16">
        <f>AVERAGE(O83,N83)</f>
        <v>7952</v>
      </c>
      <c r="P85" s="16">
        <f t="shared" ref="P85:Q85" si="78">AVERAGE(P83,O83)</f>
        <v>8047</v>
      </c>
      <c r="Q85" s="16">
        <f t="shared" si="78"/>
        <v>8921</v>
      </c>
      <c r="R85" s="6"/>
      <c r="S85" s="16">
        <f>AVERAGE(S83,Q83)</f>
        <v>9839.5</v>
      </c>
      <c r="T85" s="16">
        <f>AVERAGE(T83,S83)</f>
        <v>10030.5</v>
      </c>
      <c r="U85" s="16">
        <f t="shared" ref="U85:V85" si="79">AVERAGE(U83,T83)</f>
        <v>10149</v>
      </c>
      <c r="V85" s="16"/>
      <c r="W85" s="131"/>
      <c r="X85" s="16"/>
      <c r="Y85" s="16"/>
      <c r="Z85" s="16"/>
      <c r="AA85" s="16"/>
      <c r="AB85" s="6"/>
      <c r="AC85" s="16"/>
      <c r="AD85" s="16"/>
      <c r="AE85" s="16"/>
      <c r="AF85" s="16"/>
      <c r="AG85" s="6"/>
      <c r="AH85" s="16"/>
      <c r="AI85" s="16"/>
      <c r="AJ85" s="16"/>
      <c r="AK85" s="16"/>
      <c r="AL85" s="6"/>
      <c r="AM85" s="16"/>
      <c r="AN85" s="16"/>
      <c r="AO85" s="16"/>
      <c r="AP85" s="16"/>
      <c r="AQ85" s="6"/>
      <c r="AR85" s="16"/>
      <c r="AS85" s="16"/>
      <c r="AT85" s="16"/>
      <c r="AU85" s="16"/>
      <c r="AV85" s="6"/>
    </row>
    <row r="86" spans="1:48" outlineLevel="1" x14ac:dyDescent="0.3">
      <c r="B86" s="181" t="s">
        <v>48</v>
      </c>
      <c r="C86" s="211"/>
      <c r="D86" s="43">
        <f>+D87/D85</f>
        <v>3.5390488309209482E-2</v>
      </c>
      <c r="E86" s="114">
        <f>+E87/E85</f>
        <v>3.3197005941816495E-2</v>
      </c>
      <c r="F86" s="114">
        <f>+F87/F85</f>
        <v>3.335521038430686E-2</v>
      </c>
      <c r="G86" s="114">
        <f>+G87/G85</f>
        <v>3.468456004427227E-2</v>
      </c>
      <c r="H86" s="26"/>
      <c r="I86" s="114">
        <f t="shared" ref="I86:S86" si="80">+I87/I85</f>
        <v>3.4275333064190554E-2</v>
      </c>
      <c r="J86" s="114">
        <f t="shared" si="80"/>
        <v>2.97331136738056E-2</v>
      </c>
      <c r="K86" s="114">
        <f t="shared" si="80"/>
        <v>8.4784451835909474E-3</v>
      </c>
      <c r="L86" s="114">
        <f t="shared" si="80"/>
        <v>2.3837943303110294E-2</v>
      </c>
      <c r="M86" s="6"/>
      <c r="N86" s="114">
        <f t="shared" si="80"/>
        <v>2.2388397915250397E-2</v>
      </c>
      <c r="O86" s="114">
        <f t="shared" si="80"/>
        <v>2.5251509054325959E-2</v>
      </c>
      <c r="P86" s="114">
        <f t="shared" si="80"/>
        <v>2.6307940847520812E-2</v>
      </c>
      <c r="Q86" s="114">
        <f t="shared" si="80"/>
        <v>3.228337630310503E-2</v>
      </c>
      <c r="R86" s="6"/>
      <c r="S86" s="114">
        <f t="shared" si="80"/>
        <v>3.4036282331419275E-2</v>
      </c>
      <c r="T86" s="114">
        <f>+T87/T85</f>
        <v>3.4145855141817456E-2</v>
      </c>
      <c r="U86" s="114">
        <f>+U87/U85</f>
        <v>4.065425165040891E-2</v>
      </c>
      <c r="V86" s="62"/>
      <c r="W86" s="131"/>
      <c r="X86" s="62"/>
      <c r="Y86" s="62"/>
      <c r="Z86" s="62"/>
      <c r="AA86" s="62"/>
      <c r="AB86" s="6"/>
      <c r="AC86" s="62"/>
      <c r="AD86" s="62"/>
      <c r="AE86" s="62"/>
      <c r="AF86" s="62"/>
      <c r="AG86" s="6"/>
      <c r="AH86" s="62"/>
      <c r="AI86" s="62"/>
      <c r="AJ86" s="62"/>
      <c r="AK86" s="62"/>
      <c r="AL86" s="6"/>
      <c r="AM86" s="62"/>
      <c r="AN86" s="62"/>
      <c r="AO86" s="62"/>
      <c r="AP86" s="62"/>
      <c r="AQ86" s="6"/>
      <c r="AR86" s="62"/>
      <c r="AS86" s="62"/>
      <c r="AT86" s="62"/>
      <c r="AU86" s="62"/>
      <c r="AV86" s="6"/>
    </row>
    <row r="87" spans="1:48" s="8" customFormat="1" outlineLevel="1" x14ac:dyDescent="0.3">
      <c r="B87" s="412" t="s">
        <v>118</v>
      </c>
      <c r="C87" s="413"/>
      <c r="D87" s="115">
        <v>222.5</v>
      </c>
      <c r="E87" s="115">
        <v>215.1</v>
      </c>
      <c r="F87" s="115">
        <v>228.7</v>
      </c>
      <c r="G87" s="115">
        <v>250.7</v>
      </c>
      <c r="H87" s="73">
        <f>SUM(D87:G87)</f>
        <v>917</v>
      </c>
      <c r="I87" s="115">
        <v>254.7</v>
      </c>
      <c r="J87" s="115">
        <v>225.6</v>
      </c>
      <c r="K87" s="115">
        <v>65</v>
      </c>
      <c r="L87" s="72">
        <v>207.7</v>
      </c>
      <c r="M87" s="73">
        <f>SUM(I87:L87)</f>
        <v>753</v>
      </c>
      <c r="N87" s="72">
        <v>197.6</v>
      </c>
      <c r="O87" s="72">
        <v>200.8</v>
      </c>
      <c r="P87" s="72">
        <v>211.7</v>
      </c>
      <c r="Q87" s="115">
        <v>288</v>
      </c>
      <c r="R87" s="73">
        <f>SUM(N87:Q87)</f>
        <v>898.09999999999991</v>
      </c>
      <c r="S87" s="72">
        <v>334.9</v>
      </c>
      <c r="T87" s="72">
        <v>342.5</v>
      </c>
      <c r="U87" s="72">
        <v>412.6</v>
      </c>
      <c r="V87" s="72"/>
      <c r="W87" s="223"/>
      <c r="X87" s="72"/>
      <c r="Y87" s="72"/>
      <c r="Z87" s="72"/>
      <c r="AA87" s="72"/>
      <c r="AB87" s="73"/>
      <c r="AC87" s="72"/>
      <c r="AD87" s="72"/>
      <c r="AE87" s="72"/>
      <c r="AF87" s="72"/>
      <c r="AG87" s="73"/>
      <c r="AH87" s="72"/>
      <c r="AI87" s="72"/>
      <c r="AJ87" s="72"/>
      <c r="AK87" s="72"/>
      <c r="AL87" s="73"/>
      <c r="AM87" s="72"/>
      <c r="AN87" s="72"/>
      <c r="AO87" s="72"/>
      <c r="AP87" s="72"/>
      <c r="AQ87" s="73"/>
      <c r="AR87" s="72"/>
      <c r="AS87" s="72"/>
      <c r="AT87" s="72"/>
      <c r="AU87" s="72"/>
      <c r="AV87" s="73"/>
    </row>
    <row r="88" spans="1:48" s="8" customFormat="1" outlineLevel="1" x14ac:dyDescent="0.3">
      <c r="B88" s="394" t="s">
        <v>119</v>
      </c>
      <c r="C88" s="395"/>
      <c r="D88" s="103">
        <v>3.4</v>
      </c>
      <c r="E88" s="103">
        <v>4.9000000000000004</v>
      </c>
      <c r="F88" s="103">
        <v>3.8</v>
      </c>
      <c r="G88" s="103">
        <v>5.5</v>
      </c>
      <c r="H88" s="97">
        <f>SUM(D88:G88)</f>
        <v>17.600000000000001</v>
      </c>
      <c r="I88" s="103">
        <v>6.7</v>
      </c>
      <c r="J88" s="103">
        <v>6.6</v>
      </c>
      <c r="K88" s="103">
        <v>9.1</v>
      </c>
      <c r="L88" s="50">
        <v>5.3</v>
      </c>
      <c r="M88" s="97">
        <f>SUM(I88:L88)</f>
        <v>27.7</v>
      </c>
      <c r="N88" s="50">
        <v>15</v>
      </c>
      <c r="O88" s="50">
        <v>25.4</v>
      </c>
      <c r="P88" s="50">
        <v>13.4</v>
      </c>
      <c r="Q88" s="103">
        <v>16.600000000000001</v>
      </c>
      <c r="R88" s="97">
        <f>SUM(N88:Q88)</f>
        <v>70.400000000000006</v>
      </c>
      <c r="S88" s="50">
        <v>32.700000000000003</v>
      </c>
      <c r="T88" s="50">
        <v>19.5</v>
      </c>
      <c r="U88" s="50">
        <v>9.8000000000000007</v>
      </c>
      <c r="V88" s="50"/>
      <c r="W88" s="133"/>
      <c r="X88" s="50"/>
      <c r="Y88" s="50"/>
      <c r="Z88" s="50"/>
      <c r="AA88" s="50"/>
      <c r="AB88" s="97"/>
      <c r="AC88" s="50"/>
      <c r="AD88" s="50"/>
      <c r="AE88" s="50"/>
      <c r="AF88" s="50"/>
      <c r="AG88" s="97"/>
      <c r="AH88" s="50"/>
      <c r="AI88" s="50"/>
      <c r="AJ88" s="50"/>
      <c r="AK88" s="50"/>
      <c r="AL88" s="97"/>
      <c r="AM88" s="50"/>
      <c r="AN88" s="50"/>
      <c r="AO88" s="50"/>
      <c r="AP88" s="50"/>
      <c r="AQ88" s="97"/>
      <c r="AR88" s="50"/>
      <c r="AS88" s="50"/>
      <c r="AT88" s="50"/>
      <c r="AU88" s="50"/>
      <c r="AV88" s="97"/>
    </row>
    <row r="89" spans="1:48" outlineLevel="1" x14ac:dyDescent="0.3">
      <c r="B89" s="69" t="s">
        <v>50</v>
      </c>
      <c r="C89" s="70"/>
      <c r="D89" s="120"/>
      <c r="E89" s="120"/>
      <c r="F89" s="120"/>
      <c r="G89" s="120"/>
      <c r="H89" s="58"/>
      <c r="I89" s="120">
        <f>I88/D88-1</f>
        <v>0.97058823529411775</v>
      </c>
      <c r="J89" s="120">
        <f t="shared" ref="J89:L89" si="81">J88/E88-1</f>
        <v>0.3469387755102038</v>
      </c>
      <c r="K89" s="120">
        <f t="shared" si="81"/>
        <v>1.3947368421052633</v>
      </c>
      <c r="L89" s="120">
        <f t="shared" si="81"/>
        <v>-3.6363636363636376E-2</v>
      </c>
      <c r="M89" s="58"/>
      <c r="N89" s="120">
        <f>N88/I88-1</f>
        <v>1.2388059701492535</v>
      </c>
      <c r="O89" s="120">
        <f t="shared" ref="O89:Q89" si="82">O88/J88-1</f>
        <v>2.8484848484848486</v>
      </c>
      <c r="P89" s="120">
        <f t="shared" si="82"/>
        <v>0.47252747252747263</v>
      </c>
      <c r="Q89" s="120">
        <f t="shared" si="82"/>
        <v>2.1320754716981134</v>
      </c>
      <c r="R89" s="58"/>
      <c r="S89" s="120">
        <f>S88/N88-1</f>
        <v>1.1800000000000002</v>
      </c>
      <c r="T89" s="120">
        <f t="shared" ref="T89:U89" si="83">T88/O88-1</f>
        <v>-0.23228346456692905</v>
      </c>
      <c r="U89" s="120">
        <f t="shared" si="83"/>
        <v>-0.26865671641791045</v>
      </c>
      <c r="V89" s="71"/>
      <c r="W89" s="156"/>
      <c r="X89" s="71"/>
      <c r="Y89" s="71"/>
      <c r="Z89" s="71"/>
      <c r="AA89" s="71"/>
      <c r="AB89" s="58"/>
      <c r="AC89" s="71"/>
      <c r="AD89" s="71"/>
      <c r="AE89" s="71"/>
      <c r="AF89" s="71"/>
      <c r="AG89" s="58"/>
      <c r="AH89" s="71"/>
      <c r="AI89" s="71"/>
      <c r="AJ89" s="71"/>
      <c r="AK89" s="71"/>
      <c r="AL89" s="58"/>
      <c r="AM89" s="71"/>
      <c r="AN89" s="71"/>
      <c r="AO89" s="71"/>
      <c r="AP89" s="71"/>
      <c r="AQ89" s="58"/>
      <c r="AR89" s="71"/>
      <c r="AS89" s="71"/>
      <c r="AT89" s="71"/>
      <c r="AU89" s="71"/>
      <c r="AV89" s="58"/>
    </row>
    <row r="90" spans="1:48" outlineLevel="1" x14ac:dyDescent="0.3">
      <c r="B90" s="181" t="s">
        <v>120</v>
      </c>
      <c r="C90" s="217"/>
      <c r="D90" s="101">
        <f t="shared" ref="D90:G91" si="84">+D83+D74</f>
        <v>12212</v>
      </c>
      <c r="E90" s="101">
        <f t="shared" si="84"/>
        <v>12465</v>
      </c>
      <c r="F90" s="101">
        <f t="shared" si="84"/>
        <v>12773</v>
      </c>
      <c r="G90" s="101">
        <f t="shared" si="84"/>
        <v>13189</v>
      </c>
      <c r="H90" s="6"/>
      <c r="I90" s="101">
        <f t="shared" ref="I90:L91" si="85">+I83+I74</f>
        <v>13592</v>
      </c>
      <c r="J90" s="101">
        <f t="shared" si="85"/>
        <v>13779</v>
      </c>
      <c r="K90" s="101">
        <f t="shared" si="85"/>
        <v>13945</v>
      </c>
      <c r="L90" s="16">
        <f t="shared" si="85"/>
        <v>16263</v>
      </c>
      <c r="M90" s="6"/>
      <c r="N90" s="16">
        <f t="shared" ref="N90:Q91" si="86">+N83+N74</f>
        <v>14630</v>
      </c>
      <c r="O90" s="16">
        <f t="shared" si="86"/>
        <v>14823</v>
      </c>
      <c r="P90" s="16">
        <f t="shared" si="86"/>
        <v>15120</v>
      </c>
      <c r="Q90" s="16">
        <f t="shared" si="86"/>
        <v>17007</v>
      </c>
      <c r="R90" s="6"/>
      <c r="S90" s="16">
        <f t="shared" ref="S90:V91" si="87">+S83+S74</f>
        <v>17429</v>
      </c>
      <c r="T90" s="16">
        <f t="shared" si="87"/>
        <v>17704</v>
      </c>
      <c r="U90" s="16">
        <f t="shared" si="87"/>
        <v>17898</v>
      </c>
      <c r="V90" s="16"/>
      <c r="W90" s="265"/>
      <c r="X90" s="16"/>
      <c r="Y90" s="16"/>
      <c r="Z90" s="16"/>
      <c r="AA90" s="16"/>
      <c r="AB90" s="266"/>
      <c r="AC90" s="16"/>
      <c r="AD90" s="16"/>
      <c r="AE90" s="16"/>
      <c r="AF90" s="16"/>
      <c r="AG90" s="266"/>
      <c r="AH90" s="16"/>
      <c r="AI90" s="16"/>
      <c r="AJ90" s="16"/>
      <c r="AK90" s="16"/>
      <c r="AL90" s="197"/>
      <c r="AM90" s="16"/>
      <c r="AN90" s="16"/>
      <c r="AO90" s="16"/>
      <c r="AP90" s="16"/>
      <c r="AQ90" s="197"/>
      <c r="AR90" s="16"/>
      <c r="AS90" s="16"/>
      <c r="AT90" s="16"/>
      <c r="AU90" s="16"/>
      <c r="AV90" s="197"/>
    </row>
    <row r="91" spans="1:48" outlineLevel="1" x14ac:dyDescent="0.3">
      <c r="B91" s="181" t="s">
        <v>121</v>
      </c>
      <c r="C91" s="217"/>
      <c r="D91" s="101">
        <f t="shared" si="84"/>
        <v>360</v>
      </c>
      <c r="E91" s="101">
        <f t="shared" si="84"/>
        <v>253</v>
      </c>
      <c r="F91" s="101">
        <f t="shared" si="84"/>
        <v>308</v>
      </c>
      <c r="G91" s="101">
        <f t="shared" si="84"/>
        <v>416</v>
      </c>
      <c r="H91" s="122">
        <f>+H84+H75</f>
        <v>1337</v>
      </c>
      <c r="I91" s="101">
        <f t="shared" si="85"/>
        <v>403</v>
      </c>
      <c r="J91" s="101">
        <f t="shared" si="85"/>
        <v>187</v>
      </c>
      <c r="K91" s="101">
        <f t="shared" si="85"/>
        <v>166</v>
      </c>
      <c r="L91" s="101">
        <f t="shared" si="85"/>
        <v>356</v>
      </c>
      <c r="M91" s="122">
        <f>+M84+M75</f>
        <v>1112</v>
      </c>
      <c r="N91" s="101">
        <f t="shared" si="86"/>
        <v>324</v>
      </c>
      <c r="O91" s="101">
        <f t="shared" si="86"/>
        <v>193</v>
      </c>
      <c r="P91" s="101">
        <f t="shared" si="86"/>
        <v>297</v>
      </c>
      <c r="Q91" s="101">
        <f t="shared" si="86"/>
        <v>464</v>
      </c>
      <c r="R91" s="122">
        <f>+R84+R75</f>
        <v>1278</v>
      </c>
      <c r="S91" s="16">
        <f t="shared" si="87"/>
        <v>422</v>
      </c>
      <c r="T91" s="16">
        <f t="shared" si="87"/>
        <v>275</v>
      </c>
      <c r="U91" s="16">
        <f t="shared" si="87"/>
        <v>194</v>
      </c>
      <c r="V91" s="16"/>
      <c r="W91" s="122"/>
      <c r="X91" s="16"/>
      <c r="Y91" s="16"/>
      <c r="Z91" s="16"/>
      <c r="AA91" s="16"/>
      <c r="AB91" s="26"/>
      <c r="AC91" s="16"/>
      <c r="AD91" s="16"/>
      <c r="AE91" s="16"/>
      <c r="AF91" s="16"/>
      <c r="AG91" s="26"/>
      <c r="AH91" s="16"/>
      <c r="AI91" s="16"/>
      <c r="AJ91" s="16"/>
      <c r="AK91" s="16"/>
      <c r="AL91" s="26"/>
      <c r="AM91" s="16"/>
      <c r="AN91" s="16"/>
      <c r="AO91" s="16"/>
      <c r="AP91" s="16"/>
      <c r="AQ91" s="26"/>
      <c r="AR91" s="16"/>
      <c r="AS91" s="16"/>
      <c r="AT91" s="16"/>
      <c r="AU91" s="16"/>
      <c r="AV91" s="26"/>
    </row>
    <row r="92" spans="1:48" outlineLevel="1" x14ac:dyDescent="0.3">
      <c r="B92" s="408" t="s">
        <v>122</v>
      </c>
      <c r="C92" s="409"/>
      <c r="D92" s="115">
        <f>+D88+D87+D78</f>
        <v>1504</v>
      </c>
      <c r="E92" s="115">
        <f>+E88+E87+E78</f>
        <v>1529.4</v>
      </c>
      <c r="F92" s="115">
        <f>+F88+F87+F78</f>
        <v>1585.3</v>
      </c>
      <c r="G92" s="115">
        <f>+G88+G87+G78</f>
        <v>1572.1000000000001</v>
      </c>
      <c r="H92" s="223">
        <f>SUM(D92:G92)</f>
        <v>6190.8</v>
      </c>
      <c r="I92" s="115">
        <f>+I88+I87+I78</f>
        <v>1571.1</v>
      </c>
      <c r="J92" s="115">
        <f>+J88+J87+J78</f>
        <v>1134.5999999999999</v>
      </c>
      <c r="K92" s="115">
        <f>+K88+K87+K78</f>
        <v>949.6</v>
      </c>
      <c r="L92" s="115">
        <f>+L88+L87+L78</f>
        <v>1511.3</v>
      </c>
      <c r="M92" s="223">
        <f>SUM(I92:L92)</f>
        <v>5166.5999999999995</v>
      </c>
      <c r="N92" s="115">
        <f>+N88+N87+N78</f>
        <v>1654.3</v>
      </c>
      <c r="O92" s="115">
        <f>+O88+O87+O78</f>
        <v>1610.9</v>
      </c>
      <c r="P92" s="115">
        <f>+P88+P87+P78</f>
        <v>1658.3999999999999</v>
      </c>
      <c r="Q92" s="115">
        <f>+Q88+Q87+Q78</f>
        <v>1914.6</v>
      </c>
      <c r="R92" s="73">
        <f>SUM(N92:Q92)</f>
        <v>6838.1999999999989</v>
      </c>
      <c r="S92" s="72">
        <f>+S88+S87+S78</f>
        <v>1875.8999999999999</v>
      </c>
      <c r="T92" s="72">
        <f>+T88+T87+T78</f>
        <v>1702.4</v>
      </c>
      <c r="U92" s="72">
        <f>+U88+U87+U78</f>
        <v>1584.7</v>
      </c>
      <c r="V92" s="72"/>
      <c r="W92" s="223"/>
      <c r="X92" s="72"/>
      <c r="Y92" s="72"/>
      <c r="Z92" s="72"/>
      <c r="AA92" s="72"/>
      <c r="AB92" s="73"/>
      <c r="AC92" s="72"/>
      <c r="AD92" s="72"/>
      <c r="AE92" s="72"/>
      <c r="AF92" s="72"/>
      <c r="AG92" s="73"/>
      <c r="AH92" s="72"/>
      <c r="AI92" s="72"/>
      <c r="AJ92" s="72"/>
      <c r="AK92" s="72"/>
      <c r="AL92" s="73"/>
      <c r="AM92" s="72"/>
      <c r="AN92" s="72"/>
      <c r="AO92" s="72"/>
      <c r="AP92" s="72"/>
      <c r="AQ92" s="73"/>
      <c r="AR92" s="72"/>
      <c r="AS92" s="72"/>
      <c r="AT92" s="72"/>
      <c r="AU92" s="72"/>
      <c r="AV92" s="73"/>
    </row>
    <row r="93" spans="1:48" outlineLevel="1" x14ac:dyDescent="0.3">
      <c r="B93" s="414" t="s">
        <v>100</v>
      </c>
      <c r="C93" s="415"/>
      <c r="D93" s="105">
        <v>462.7</v>
      </c>
      <c r="E93" s="105">
        <v>470.2</v>
      </c>
      <c r="F93" s="105">
        <v>476.1</v>
      </c>
      <c r="G93" s="105">
        <v>486.1</v>
      </c>
      <c r="H93" s="130">
        <f>SUM(D93:G93)</f>
        <v>1895.1</v>
      </c>
      <c r="I93" s="105">
        <v>488.5</v>
      </c>
      <c r="J93" s="105">
        <v>387.7</v>
      </c>
      <c r="K93" s="105">
        <v>337.7</v>
      </c>
      <c r="L93" s="105">
        <v>479.2</v>
      </c>
      <c r="M93" s="130">
        <f>SUM(I93:L93)</f>
        <v>1693.1000000000001</v>
      </c>
      <c r="N93" s="105">
        <v>520.4</v>
      </c>
      <c r="O93" s="105">
        <v>513.5</v>
      </c>
      <c r="P93" s="105">
        <v>501.7</v>
      </c>
      <c r="Q93" s="105">
        <v>605.1</v>
      </c>
      <c r="R93" s="76">
        <f>SUM(N93:Q93)</f>
        <v>2140.7000000000003</v>
      </c>
      <c r="S93" s="48">
        <v>615.79999999999995</v>
      </c>
      <c r="T93" s="48">
        <v>580.5</v>
      </c>
      <c r="U93" s="48">
        <v>550.29999999999995</v>
      </c>
      <c r="V93" s="48"/>
      <c r="W93" s="76"/>
      <c r="X93" s="48"/>
      <c r="Y93" s="48"/>
      <c r="Z93" s="48"/>
      <c r="AA93" s="48"/>
      <c r="AB93" s="76"/>
      <c r="AC93" s="48"/>
      <c r="AD93" s="48"/>
      <c r="AE93" s="48"/>
      <c r="AF93" s="48"/>
      <c r="AG93" s="76"/>
      <c r="AH93" s="48"/>
      <c r="AI93" s="48"/>
      <c r="AJ93" s="48"/>
      <c r="AK93" s="48"/>
      <c r="AL93" s="76"/>
      <c r="AM93" s="48"/>
      <c r="AN93" s="48"/>
      <c r="AO93" s="48"/>
      <c r="AP93" s="48"/>
      <c r="AQ93" s="76"/>
      <c r="AR93" s="48"/>
      <c r="AS93" s="48"/>
      <c r="AT93" s="48"/>
      <c r="AU93" s="48"/>
      <c r="AV93" s="76"/>
    </row>
    <row r="94" spans="1:48" s="184" customFormat="1" outlineLevel="1" x14ac:dyDescent="0.3">
      <c r="A94" s="249"/>
      <c r="B94" s="182" t="s">
        <v>152</v>
      </c>
      <c r="C94" s="183"/>
      <c r="D94" s="168">
        <f>D93/D92</f>
        <v>0.30764627659574467</v>
      </c>
      <c r="E94" s="168">
        <f t="shared" ref="E94:U94" si="88">E93/E92</f>
        <v>0.30744082646789589</v>
      </c>
      <c r="F94" s="168">
        <f t="shared" si="88"/>
        <v>0.30032170567085098</v>
      </c>
      <c r="G94" s="168">
        <f t="shared" si="88"/>
        <v>0.30920424909356908</v>
      </c>
      <c r="H94" s="187">
        <f>H93/H92</f>
        <v>0.30611552626477995</v>
      </c>
      <c r="I94" s="168">
        <f t="shared" si="88"/>
        <v>0.31092864871745912</v>
      </c>
      <c r="J94" s="168">
        <f t="shared" si="88"/>
        <v>0.34170632822139962</v>
      </c>
      <c r="K94" s="168">
        <f t="shared" si="88"/>
        <v>0.35562342038753159</v>
      </c>
      <c r="L94" s="168">
        <f t="shared" si="88"/>
        <v>0.31707801230728511</v>
      </c>
      <c r="M94" s="187">
        <f>M93/M92</f>
        <v>0.32770100259358192</v>
      </c>
      <c r="N94" s="168">
        <f t="shared" si="88"/>
        <v>0.31457414011968809</v>
      </c>
      <c r="O94" s="168">
        <f t="shared" si="88"/>
        <v>0.31876590725681292</v>
      </c>
      <c r="P94" s="168">
        <f t="shared" si="88"/>
        <v>0.30252050168837435</v>
      </c>
      <c r="Q94" s="168">
        <f t="shared" si="88"/>
        <v>0.31604512691946102</v>
      </c>
      <c r="R94" s="189">
        <f>R93/R92</f>
        <v>0.31305021789359783</v>
      </c>
      <c r="S94" s="168">
        <f t="shared" si="88"/>
        <v>0.32826909749986671</v>
      </c>
      <c r="T94" s="168">
        <f t="shared" si="88"/>
        <v>0.34098919172932329</v>
      </c>
      <c r="U94" s="168">
        <f t="shared" si="88"/>
        <v>0.34725815611787714</v>
      </c>
      <c r="V94" s="190"/>
      <c r="W94" s="189"/>
      <c r="X94" s="190"/>
      <c r="Y94" s="190"/>
      <c r="Z94" s="190"/>
      <c r="AA94" s="190"/>
      <c r="AB94" s="189"/>
      <c r="AC94" s="190"/>
      <c r="AD94" s="190"/>
      <c r="AE94" s="190"/>
      <c r="AF94" s="190"/>
      <c r="AG94" s="189"/>
      <c r="AH94" s="190"/>
      <c r="AI94" s="190"/>
      <c r="AJ94" s="190"/>
      <c r="AK94" s="190"/>
      <c r="AL94" s="189"/>
      <c r="AM94" s="190"/>
      <c r="AN94" s="190"/>
      <c r="AO94" s="190"/>
      <c r="AP94" s="190"/>
      <c r="AQ94" s="189"/>
      <c r="AR94" s="190"/>
      <c r="AS94" s="190"/>
      <c r="AT94" s="190"/>
      <c r="AU94" s="190"/>
      <c r="AV94" s="189"/>
    </row>
    <row r="95" spans="1:48" outlineLevel="1" x14ac:dyDescent="0.3">
      <c r="B95" s="181" t="s">
        <v>32</v>
      </c>
      <c r="C95" s="18"/>
      <c r="D95" s="105">
        <v>603.70000000000005</v>
      </c>
      <c r="E95" s="105">
        <v>618.4</v>
      </c>
      <c r="F95" s="105">
        <v>609.20000000000005</v>
      </c>
      <c r="G95" s="105">
        <v>597.29999999999995</v>
      </c>
      <c r="H95" s="171">
        <f>SUM(D95:G95)</f>
        <v>2428.6</v>
      </c>
      <c r="I95" s="105">
        <v>607.1</v>
      </c>
      <c r="J95" s="105">
        <v>562.79999999999995</v>
      </c>
      <c r="K95" s="105">
        <v>483.4</v>
      </c>
      <c r="L95" s="105">
        <v>622.70000000000005</v>
      </c>
      <c r="M95" s="171">
        <f>SUM(I95:L95)</f>
        <v>2276</v>
      </c>
      <c r="N95" s="105">
        <v>628.5</v>
      </c>
      <c r="O95" s="105">
        <v>620.20000000000005</v>
      </c>
      <c r="P95" s="105">
        <v>620.1</v>
      </c>
      <c r="Q95" s="105">
        <v>702.6</v>
      </c>
      <c r="R95" s="49">
        <f>SUM(N95:Q95)</f>
        <v>2571.4</v>
      </c>
      <c r="S95" s="48">
        <v>697.6</v>
      </c>
      <c r="T95" s="48">
        <v>689.3</v>
      </c>
      <c r="U95" s="48">
        <v>632.5</v>
      </c>
      <c r="V95" s="48"/>
      <c r="W95" s="49"/>
      <c r="X95" s="48"/>
      <c r="Y95" s="48"/>
      <c r="Z95" s="48"/>
      <c r="AA95" s="48"/>
      <c r="AB95" s="49"/>
      <c r="AC95" s="48"/>
      <c r="AD95" s="48"/>
      <c r="AE95" s="48"/>
      <c r="AF95" s="48"/>
      <c r="AG95" s="49"/>
      <c r="AH95" s="48"/>
      <c r="AI95" s="48"/>
      <c r="AJ95" s="48"/>
      <c r="AK95" s="48"/>
      <c r="AL95" s="49"/>
      <c r="AM95" s="48"/>
      <c r="AN95" s="48"/>
      <c r="AO95" s="48"/>
      <c r="AP95" s="48"/>
      <c r="AQ95" s="49"/>
      <c r="AR95" s="48"/>
      <c r="AS95" s="48"/>
      <c r="AT95" s="48"/>
      <c r="AU95" s="48"/>
      <c r="AV95" s="49"/>
    </row>
    <row r="96" spans="1:48" s="185" customFormat="1" outlineLevel="1" x14ac:dyDescent="0.3">
      <c r="B96" s="182" t="s">
        <v>151</v>
      </c>
      <c r="C96" s="191"/>
      <c r="D96" s="168">
        <f t="shared" ref="D96:U96" si="89">D95/D78</f>
        <v>0.47234175729598632</v>
      </c>
      <c r="E96" s="168">
        <f t="shared" si="89"/>
        <v>0.4722773789521918</v>
      </c>
      <c r="F96" s="168">
        <f t="shared" si="89"/>
        <v>0.45032525133057366</v>
      </c>
      <c r="G96" s="168">
        <f t="shared" si="89"/>
        <v>0.45390987157078799</v>
      </c>
      <c r="H96" s="187">
        <f t="shared" si="89"/>
        <v>0.46204482325634483</v>
      </c>
      <c r="I96" s="168">
        <f t="shared" si="89"/>
        <v>0.46354126899289916</v>
      </c>
      <c r="J96" s="168">
        <f t="shared" si="89"/>
        <v>0.62367021276595747</v>
      </c>
      <c r="K96" s="168">
        <f t="shared" si="89"/>
        <v>0.5521416333523701</v>
      </c>
      <c r="L96" s="168">
        <f t="shared" si="89"/>
        <v>0.47962720480628518</v>
      </c>
      <c r="M96" s="187">
        <f t="shared" si="89"/>
        <v>0.51893568024806769</v>
      </c>
      <c r="N96" s="168">
        <f t="shared" si="89"/>
        <v>0.43594367760282998</v>
      </c>
      <c r="O96" s="168">
        <f t="shared" si="89"/>
        <v>0.44789485087022463</v>
      </c>
      <c r="P96" s="168">
        <f t="shared" si="89"/>
        <v>0.4326379683248448</v>
      </c>
      <c r="Q96" s="168">
        <f t="shared" si="89"/>
        <v>0.43639751552795031</v>
      </c>
      <c r="R96" s="189">
        <f t="shared" si="89"/>
        <v>0.43808031074841985</v>
      </c>
      <c r="S96" s="168">
        <f t="shared" si="89"/>
        <v>0.46250745872836974</v>
      </c>
      <c r="T96" s="168">
        <f t="shared" si="89"/>
        <v>0.51424947776783048</v>
      </c>
      <c r="U96" s="168">
        <f t="shared" si="89"/>
        <v>0.54417964380968775</v>
      </c>
      <c r="V96" s="190"/>
      <c r="W96" s="189"/>
      <c r="X96" s="190"/>
      <c r="Y96" s="190"/>
      <c r="Z96" s="190"/>
      <c r="AA96" s="190"/>
      <c r="AB96" s="189"/>
      <c r="AC96" s="190"/>
      <c r="AD96" s="190"/>
      <c r="AE96" s="190"/>
      <c r="AF96" s="190"/>
      <c r="AG96" s="189"/>
      <c r="AH96" s="190"/>
      <c r="AI96" s="190"/>
      <c r="AJ96" s="190"/>
      <c r="AK96" s="190"/>
      <c r="AL96" s="189"/>
      <c r="AM96" s="190"/>
      <c r="AN96" s="190"/>
      <c r="AO96" s="190"/>
      <c r="AP96" s="190"/>
      <c r="AQ96" s="189"/>
      <c r="AR96" s="190"/>
      <c r="AS96" s="190"/>
      <c r="AT96" s="190"/>
      <c r="AU96" s="190"/>
      <c r="AV96" s="189"/>
    </row>
    <row r="97" spans="1:48" outlineLevel="1" x14ac:dyDescent="0.3">
      <c r="B97" s="181" t="s">
        <v>33</v>
      </c>
      <c r="C97" s="18"/>
      <c r="D97" s="105">
        <v>31.3</v>
      </c>
      <c r="E97" s="105">
        <v>26.3</v>
      </c>
      <c r="F97" s="105">
        <v>26.7</v>
      </c>
      <c r="G97" s="105">
        <v>31.9</v>
      </c>
      <c r="H97" s="171">
        <f>SUM(D97:G97)</f>
        <v>116.19999999999999</v>
      </c>
      <c r="I97" s="105">
        <v>35.9</v>
      </c>
      <c r="J97" s="105">
        <v>31.8</v>
      </c>
      <c r="K97" s="105">
        <v>37.5</v>
      </c>
      <c r="L97" s="105">
        <v>39.9</v>
      </c>
      <c r="M97" s="171">
        <f>SUM(I97:L97)</f>
        <v>145.1</v>
      </c>
      <c r="N97" s="105">
        <v>34.299999999999997</v>
      </c>
      <c r="O97" s="105">
        <v>29.3</v>
      </c>
      <c r="P97" s="105">
        <v>38.299999999999997</v>
      </c>
      <c r="Q97" s="105">
        <v>39.799999999999997</v>
      </c>
      <c r="R97" s="49">
        <f>SUM(N97:Q97)</f>
        <v>141.69999999999999</v>
      </c>
      <c r="S97" s="48">
        <v>39.200000000000003</v>
      </c>
      <c r="T97" s="48">
        <v>39.5</v>
      </c>
      <c r="U97" s="48">
        <v>60.2</v>
      </c>
      <c r="V97" s="48"/>
      <c r="W97" s="49"/>
      <c r="X97" s="48"/>
      <c r="Y97" s="48"/>
      <c r="Z97" s="48"/>
      <c r="AA97" s="48"/>
      <c r="AB97" s="49"/>
      <c r="AC97" s="48"/>
      <c r="AD97" s="48"/>
      <c r="AE97" s="48"/>
      <c r="AF97" s="48"/>
      <c r="AG97" s="49"/>
      <c r="AH97" s="48"/>
      <c r="AI97" s="48"/>
      <c r="AJ97" s="48"/>
      <c r="AK97" s="48"/>
      <c r="AL97" s="49"/>
      <c r="AM97" s="48"/>
      <c r="AN97" s="48"/>
      <c r="AO97" s="48"/>
      <c r="AP97" s="48"/>
      <c r="AQ97" s="49"/>
      <c r="AR97" s="48"/>
      <c r="AS97" s="48"/>
      <c r="AT97" s="48"/>
      <c r="AU97" s="48"/>
      <c r="AV97" s="49"/>
    </row>
    <row r="98" spans="1:48" s="185" customFormat="1" outlineLevel="1" x14ac:dyDescent="0.3">
      <c r="B98" s="182" t="s">
        <v>153</v>
      </c>
      <c r="C98" s="191"/>
      <c r="D98" s="168">
        <f>D97/D92</f>
        <v>2.0811170212765958E-2</v>
      </c>
      <c r="E98" s="168">
        <f t="shared" ref="E98:U98" si="90">E97/E92</f>
        <v>1.7196286125277887E-2</v>
      </c>
      <c r="F98" s="168">
        <f t="shared" si="90"/>
        <v>1.6842238062196431E-2</v>
      </c>
      <c r="G98" s="168">
        <f t="shared" si="90"/>
        <v>2.0291330068061827E-2</v>
      </c>
      <c r="H98" s="187">
        <f t="shared" si="90"/>
        <v>1.8769787426503842E-2</v>
      </c>
      <c r="I98" s="168">
        <f t="shared" si="90"/>
        <v>2.2850232321303544E-2</v>
      </c>
      <c r="J98" s="168">
        <f t="shared" si="90"/>
        <v>2.8027498677948178E-2</v>
      </c>
      <c r="K98" s="168">
        <f t="shared" si="90"/>
        <v>3.9490311710193765E-2</v>
      </c>
      <c r="L98" s="168">
        <f t="shared" si="90"/>
        <v>2.6401111625752663E-2</v>
      </c>
      <c r="M98" s="187">
        <f t="shared" si="90"/>
        <v>2.8084233344946388E-2</v>
      </c>
      <c r="N98" s="168">
        <f t="shared" si="90"/>
        <v>2.0733845130871061E-2</v>
      </c>
      <c r="O98" s="168">
        <f t="shared" si="90"/>
        <v>1.8188590229064498E-2</v>
      </c>
      <c r="P98" s="168">
        <f t="shared" si="90"/>
        <v>2.3094548962855763E-2</v>
      </c>
      <c r="Q98" s="168">
        <f t="shared" si="90"/>
        <v>2.0787631881332914E-2</v>
      </c>
      <c r="R98" s="189">
        <f t="shared" ref="R98" si="91">R97/R92</f>
        <v>2.0721827381474659E-2</v>
      </c>
      <c r="S98" s="168">
        <f t="shared" si="90"/>
        <v>2.0896636281251667E-2</v>
      </c>
      <c r="T98" s="168">
        <f t="shared" si="90"/>
        <v>2.3202537593984961E-2</v>
      </c>
      <c r="U98" s="168">
        <f t="shared" si="90"/>
        <v>3.7988262762668014E-2</v>
      </c>
      <c r="V98" s="190"/>
      <c r="W98" s="189"/>
      <c r="X98" s="190"/>
      <c r="Y98" s="190"/>
      <c r="Z98" s="190"/>
      <c r="AA98" s="190"/>
      <c r="AB98" s="189"/>
      <c r="AC98" s="190"/>
      <c r="AD98" s="190"/>
      <c r="AE98" s="190"/>
      <c r="AF98" s="190"/>
      <c r="AG98" s="189"/>
      <c r="AH98" s="190"/>
      <c r="AI98" s="190"/>
      <c r="AJ98" s="190"/>
      <c r="AK98" s="190"/>
      <c r="AL98" s="189"/>
      <c r="AM98" s="190"/>
      <c r="AN98" s="190"/>
      <c r="AO98" s="190"/>
      <c r="AP98" s="190"/>
      <c r="AQ98" s="189"/>
      <c r="AR98" s="190"/>
      <c r="AS98" s="190"/>
      <c r="AT98" s="190"/>
      <c r="AU98" s="190"/>
      <c r="AV98" s="189"/>
    </row>
    <row r="99" spans="1:48" outlineLevel="1" x14ac:dyDescent="0.3">
      <c r="B99" s="181" t="s">
        <v>34</v>
      </c>
      <c r="C99" s="18"/>
      <c r="D99" s="384">
        <v>127</v>
      </c>
      <c r="E99" s="384">
        <v>130.4</v>
      </c>
      <c r="F99" s="384">
        <v>127.7</v>
      </c>
      <c r="G99" s="384">
        <v>126.5</v>
      </c>
      <c r="H99" s="127">
        <f>SUM(D99:G99)</f>
        <v>511.59999999999997</v>
      </c>
      <c r="I99" s="384">
        <v>126.6</v>
      </c>
      <c r="J99" s="384">
        <v>130</v>
      </c>
      <c r="K99" s="384">
        <v>128.5</v>
      </c>
      <c r="L99" s="384">
        <v>133.1</v>
      </c>
      <c r="M99" s="127">
        <f>SUM(I99:L99)</f>
        <v>518.20000000000005</v>
      </c>
      <c r="N99" s="384">
        <v>140</v>
      </c>
      <c r="O99" s="384">
        <v>143.4</v>
      </c>
      <c r="P99" s="384">
        <v>129.69999999999999</v>
      </c>
      <c r="Q99" s="384">
        <v>131.6</v>
      </c>
      <c r="R99" s="127">
        <f>SUM(N99:Q99)</f>
        <v>544.69999999999993</v>
      </c>
      <c r="S99" s="384">
        <v>133.1</v>
      </c>
      <c r="T99" s="384">
        <v>133.4</v>
      </c>
      <c r="U99" s="384">
        <v>125</v>
      </c>
      <c r="V99" s="384"/>
      <c r="W99" s="127"/>
      <c r="X99" s="384"/>
      <c r="Y99" s="384"/>
      <c r="Z99" s="384"/>
      <c r="AA99" s="384"/>
      <c r="AB99" s="127"/>
      <c r="AC99" s="384"/>
      <c r="AD99" s="384"/>
      <c r="AE99" s="384"/>
      <c r="AF99" s="384"/>
      <c r="AG99" s="127"/>
      <c r="AH99" s="384"/>
      <c r="AI99" s="384"/>
      <c r="AJ99" s="384"/>
      <c r="AK99" s="384"/>
      <c r="AL99" s="127"/>
      <c r="AM99" s="384"/>
      <c r="AN99" s="384"/>
      <c r="AO99" s="384"/>
      <c r="AP99" s="384"/>
      <c r="AQ99" s="127"/>
      <c r="AR99" s="384"/>
      <c r="AS99" s="384"/>
      <c r="AT99" s="384"/>
      <c r="AU99" s="384"/>
      <c r="AV99" s="127"/>
    </row>
    <row r="100" spans="1:48" outlineLevel="1" x14ac:dyDescent="0.3">
      <c r="B100" s="181" t="s">
        <v>35</v>
      </c>
      <c r="C100" s="18"/>
      <c r="D100" s="105">
        <v>69.3</v>
      </c>
      <c r="E100" s="105">
        <v>80.2</v>
      </c>
      <c r="F100" s="105">
        <v>86</v>
      </c>
      <c r="G100" s="105">
        <v>82.4</v>
      </c>
      <c r="H100" s="171">
        <f>SUM(D100:G100)</f>
        <v>317.89999999999998</v>
      </c>
      <c r="I100" s="105">
        <v>67.2</v>
      </c>
      <c r="J100" s="105">
        <v>63.7</v>
      </c>
      <c r="K100" s="105">
        <v>66.099999999999994</v>
      </c>
      <c r="L100" s="105">
        <v>84.5</v>
      </c>
      <c r="M100" s="171">
        <f>SUM(I100:L100)</f>
        <v>281.5</v>
      </c>
      <c r="N100" s="105">
        <v>82.6</v>
      </c>
      <c r="O100" s="105">
        <v>79.8</v>
      </c>
      <c r="P100" s="105">
        <v>92.3</v>
      </c>
      <c r="Q100" s="105">
        <v>98.4</v>
      </c>
      <c r="R100" s="49">
        <f>SUM(N100:Q100)</f>
        <v>353.1</v>
      </c>
      <c r="S100" s="48">
        <v>91.3</v>
      </c>
      <c r="T100" s="48">
        <v>79.599999999999994</v>
      </c>
      <c r="U100" s="48">
        <v>81.8</v>
      </c>
      <c r="V100" s="48"/>
      <c r="W100" s="49"/>
      <c r="X100" s="48"/>
      <c r="Y100" s="48"/>
      <c r="Z100" s="48"/>
      <c r="AA100" s="48"/>
      <c r="AB100" s="49"/>
      <c r="AC100" s="48"/>
      <c r="AD100" s="48"/>
      <c r="AE100" s="48"/>
      <c r="AF100" s="48"/>
      <c r="AG100" s="49"/>
      <c r="AH100" s="48"/>
      <c r="AI100" s="48"/>
      <c r="AJ100" s="48"/>
      <c r="AK100" s="48"/>
      <c r="AL100" s="49"/>
      <c r="AM100" s="48"/>
      <c r="AN100" s="48"/>
      <c r="AO100" s="48"/>
      <c r="AP100" s="48"/>
      <c r="AQ100" s="49"/>
      <c r="AR100" s="48"/>
      <c r="AS100" s="48"/>
      <c r="AT100" s="48"/>
      <c r="AU100" s="48"/>
      <c r="AV100" s="49"/>
    </row>
    <row r="101" spans="1:48" s="185" customFormat="1" outlineLevel="1" x14ac:dyDescent="0.3">
      <c r="B101" s="182" t="s">
        <v>154</v>
      </c>
      <c r="C101" s="191"/>
      <c r="D101" s="168">
        <f>D100/D92</f>
        <v>4.6077127659574467E-2</v>
      </c>
      <c r="E101" s="168">
        <f t="shared" ref="E101:Q101" si="92">E100/E92</f>
        <v>5.2438864914345497E-2</v>
      </c>
      <c r="F101" s="168">
        <f t="shared" si="92"/>
        <v>5.4248407241531571E-2</v>
      </c>
      <c r="G101" s="168">
        <f t="shared" si="92"/>
        <v>5.2413968577062528E-2</v>
      </c>
      <c r="H101" s="187">
        <f t="shared" si="92"/>
        <v>5.1350390902629703E-2</v>
      </c>
      <c r="I101" s="168">
        <f t="shared" si="92"/>
        <v>4.277257972121444E-2</v>
      </c>
      <c r="J101" s="168">
        <f t="shared" si="92"/>
        <v>5.6143134144191795E-2</v>
      </c>
      <c r="K101" s="168">
        <f t="shared" si="92"/>
        <v>6.9608256107834873E-2</v>
      </c>
      <c r="L101" s="168">
        <f t="shared" si="92"/>
        <v>5.5912128630979954E-2</v>
      </c>
      <c r="M101" s="187">
        <f t="shared" si="92"/>
        <v>5.4484573994503162E-2</v>
      </c>
      <c r="N101" s="168">
        <f t="shared" si="92"/>
        <v>4.9930484192709908E-2</v>
      </c>
      <c r="O101" s="168">
        <f t="shared" si="92"/>
        <v>4.9537525606803648E-2</v>
      </c>
      <c r="P101" s="168">
        <f t="shared" si="92"/>
        <v>5.5656054027978775E-2</v>
      </c>
      <c r="Q101" s="168">
        <f t="shared" si="92"/>
        <v>5.139454716389847E-2</v>
      </c>
      <c r="R101" s="189">
        <f t="shared" ref="R101:U101" si="93">R100/R92</f>
        <v>5.1636395542686682E-2</v>
      </c>
      <c r="S101" s="168">
        <f t="shared" si="93"/>
        <v>4.8669971746894823E-2</v>
      </c>
      <c r="T101" s="168">
        <f t="shared" si="93"/>
        <v>4.6757518796992477E-2</v>
      </c>
      <c r="U101" s="168">
        <f t="shared" si="93"/>
        <v>5.1618602890136929E-2</v>
      </c>
      <c r="V101" s="190"/>
      <c r="W101" s="189"/>
      <c r="X101" s="190"/>
      <c r="Y101" s="190"/>
      <c r="Z101" s="190"/>
      <c r="AA101" s="190"/>
      <c r="AB101" s="189"/>
      <c r="AC101" s="190"/>
      <c r="AD101" s="190"/>
      <c r="AE101" s="190"/>
      <c r="AF101" s="190"/>
      <c r="AG101" s="189"/>
      <c r="AH101" s="190"/>
      <c r="AI101" s="190"/>
      <c r="AJ101" s="190"/>
      <c r="AK101" s="190"/>
      <c r="AL101" s="189"/>
      <c r="AM101" s="190"/>
      <c r="AN101" s="190"/>
      <c r="AO101" s="190"/>
      <c r="AP101" s="190"/>
      <c r="AQ101" s="189"/>
      <c r="AR101" s="190"/>
      <c r="AS101" s="190"/>
      <c r="AT101" s="190"/>
      <c r="AU101" s="190"/>
      <c r="AV101" s="189"/>
    </row>
    <row r="102" spans="1:48" ht="16.2" outlineLevel="1" x14ac:dyDescent="0.45">
      <c r="B102" s="181" t="s">
        <v>42</v>
      </c>
      <c r="C102" s="18"/>
      <c r="D102" s="119">
        <v>6.4</v>
      </c>
      <c r="E102" s="119">
        <v>24.2</v>
      </c>
      <c r="F102" s="119">
        <v>16.600000000000001</v>
      </c>
      <c r="G102" s="119">
        <v>12</v>
      </c>
      <c r="H102" s="132">
        <f>SUM(D102:G102)</f>
        <v>59.2</v>
      </c>
      <c r="I102" s="119">
        <v>0.8</v>
      </c>
      <c r="J102" s="119">
        <v>-1.2</v>
      </c>
      <c r="K102" s="119">
        <v>-0.2</v>
      </c>
      <c r="L102" s="119">
        <v>-0.6</v>
      </c>
      <c r="M102" s="132">
        <f>SUM(I102:L102)</f>
        <v>-1.1999999999999997</v>
      </c>
      <c r="N102" s="119">
        <v>0</v>
      </c>
      <c r="O102" s="119">
        <v>0</v>
      </c>
      <c r="P102" s="119">
        <v>0</v>
      </c>
      <c r="Q102" s="119">
        <v>0</v>
      </c>
      <c r="R102" s="132">
        <f>SUM(N102:Q102)</f>
        <v>0</v>
      </c>
      <c r="S102" s="119">
        <v>0</v>
      </c>
      <c r="T102" s="119">
        <v>0</v>
      </c>
      <c r="U102" s="119">
        <v>0</v>
      </c>
      <c r="V102" s="123"/>
      <c r="W102" s="132"/>
      <c r="X102" s="123"/>
      <c r="Y102" s="123"/>
      <c r="Z102" s="123"/>
      <c r="AA102" s="123"/>
      <c r="AB102" s="132"/>
      <c r="AC102" s="123"/>
      <c r="AD102" s="123"/>
      <c r="AE102" s="123"/>
      <c r="AF102" s="123"/>
      <c r="AG102" s="132"/>
      <c r="AH102" s="123"/>
      <c r="AI102" s="123"/>
      <c r="AJ102" s="123"/>
      <c r="AK102" s="123"/>
      <c r="AL102" s="132"/>
      <c r="AM102" s="123"/>
      <c r="AN102" s="123"/>
      <c r="AO102" s="123"/>
      <c r="AP102" s="123"/>
      <c r="AQ102" s="132"/>
      <c r="AR102" s="123"/>
      <c r="AS102" s="123"/>
      <c r="AT102" s="123"/>
      <c r="AU102" s="123"/>
      <c r="AV102" s="132"/>
    </row>
    <row r="103" spans="1:48" outlineLevel="1" x14ac:dyDescent="0.3">
      <c r="B103" s="46" t="s">
        <v>123</v>
      </c>
      <c r="C103" s="19"/>
      <c r="D103" s="103">
        <f>D93+D95+D97+D99+D100+D102</f>
        <v>1300.4000000000001</v>
      </c>
      <c r="E103" s="103">
        <f t="shared" ref="E103:G103" si="94">E93+E95+E97+E99+E100+E102</f>
        <v>1349.7</v>
      </c>
      <c r="F103" s="103">
        <f t="shared" si="94"/>
        <v>1342.3000000000002</v>
      </c>
      <c r="G103" s="103">
        <f t="shared" si="94"/>
        <v>1336.2000000000003</v>
      </c>
      <c r="H103" s="172">
        <f>H93+H95+H97+H99+H100+H102</f>
        <v>5328.5999999999995</v>
      </c>
      <c r="I103" s="103">
        <f>I93+I95+I97+I99+I100+I102</f>
        <v>1326.1</v>
      </c>
      <c r="J103" s="103">
        <f t="shared" ref="J103:L103" si="95">J93+J95+J97+J99+J100+J102</f>
        <v>1174.8</v>
      </c>
      <c r="K103" s="103">
        <f t="shared" si="95"/>
        <v>1052.9999999999998</v>
      </c>
      <c r="L103" s="103">
        <f t="shared" si="95"/>
        <v>1358.8000000000002</v>
      </c>
      <c r="M103" s="172">
        <f>M93+M95+M97+M99+M100+M102</f>
        <v>4912.7000000000007</v>
      </c>
      <c r="N103" s="103">
        <f>N93+N95+N97+N99+N100+N102</f>
        <v>1405.8</v>
      </c>
      <c r="O103" s="103">
        <f t="shared" ref="O103:P103" si="96">O93+O95+O97+O99+O100+O102</f>
        <v>1386.2</v>
      </c>
      <c r="P103" s="103">
        <f t="shared" si="96"/>
        <v>1382.1</v>
      </c>
      <c r="Q103" s="103">
        <f>Q93+Q95+Q97+Q99+Q100+Q102</f>
        <v>1577.5</v>
      </c>
      <c r="R103" s="172">
        <f>R93+R95+R97+R99+R100+R102</f>
        <v>5751.6</v>
      </c>
      <c r="S103" s="103">
        <f>S93+S95+S97+S99+S100+S102</f>
        <v>1577</v>
      </c>
      <c r="T103" s="103">
        <f t="shared" ref="T103:V103" si="97">T93+T95+T97+T99+T100+T102</f>
        <v>1522.3</v>
      </c>
      <c r="U103" s="103">
        <f t="shared" si="97"/>
        <v>1449.8</v>
      </c>
      <c r="V103" s="103"/>
      <c r="W103" s="172"/>
      <c r="X103" s="103"/>
      <c r="Y103" s="103"/>
      <c r="Z103" s="103"/>
      <c r="AA103" s="103"/>
      <c r="AB103" s="172"/>
      <c r="AC103" s="103"/>
      <c r="AD103" s="103"/>
      <c r="AE103" s="103"/>
      <c r="AF103" s="103"/>
      <c r="AG103" s="172"/>
      <c r="AH103" s="103"/>
      <c r="AI103" s="103"/>
      <c r="AJ103" s="103"/>
      <c r="AK103" s="103"/>
      <c r="AL103" s="172"/>
      <c r="AM103" s="103"/>
      <c r="AN103" s="103"/>
      <c r="AO103" s="103"/>
      <c r="AP103" s="103"/>
      <c r="AQ103" s="172"/>
      <c r="AR103" s="103"/>
      <c r="AS103" s="103"/>
      <c r="AT103" s="103"/>
      <c r="AU103" s="103"/>
      <c r="AV103" s="172"/>
    </row>
    <row r="104" spans="1:48" ht="16.2" outlineLevel="1" x14ac:dyDescent="0.45">
      <c r="B104" s="181" t="s">
        <v>36</v>
      </c>
      <c r="C104" s="18"/>
      <c r="D104" s="119">
        <v>26.4</v>
      </c>
      <c r="E104" s="104">
        <v>22.1</v>
      </c>
      <c r="F104" s="104">
        <v>27.2</v>
      </c>
      <c r="G104" s="104">
        <v>26.8</v>
      </c>
      <c r="H104" s="224">
        <f>SUM(D104:G104)</f>
        <v>102.5</v>
      </c>
      <c r="I104" s="104">
        <v>30.9</v>
      </c>
      <c r="J104" s="104">
        <v>24.8</v>
      </c>
      <c r="K104" s="104">
        <v>17.399999999999999</v>
      </c>
      <c r="L104" s="104">
        <v>29.2</v>
      </c>
      <c r="M104" s="224">
        <f>SUM(I104:L104)</f>
        <v>102.3</v>
      </c>
      <c r="N104" s="104">
        <v>26.3</v>
      </c>
      <c r="O104" s="104">
        <v>26.8</v>
      </c>
      <c r="P104" s="104">
        <v>42</v>
      </c>
      <c r="Q104" s="104">
        <v>40.299999999999997</v>
      </c>
      <c r="R104" s="194">
        <f>SUM(N104:Q104)</f>
        <v>135.39999999999998</v>
      </c>
      <c r="S104" s="104">
        <v>0.7</v>
      </c>
      <c r="T104" s="104">
        <v>0.6</v>
      </c>
      <c r="U104" s="104">
        <v>0.4</v>
      </c>
      <c r="V104" s="56"/>
      <c r="W104" s="194"/>
      <c r="X104" s="56"/>
      <c r="Y104" s="56"/>
      <c r="Z104" s="56"/>
      <c r="AA104" s="56"/>
      <c r="AB104" s="194"/>
      <c r="AC104" s="56"/>
      <c r="AD104" s="56"/>
      <c r="AE104" s="56"/>
      <c r="AF104" s="56"/>
      <c r="AG104" s="194"/>
      <c r="AH104" s="56"/>
      <c r="AI104" s="56"/>
      <c r="AJ104" s="56"/>
      <c r="AK104" s="56"/>
      <c r="AL104" s="194"/>
      <c r="AM104" s="56"/>
      <c r="AN104" s="56"/>
      <c r="AO104" s="56"/>
      <c r="AP104" s="56"/>
      <c r="AQ104" s="194"/>
      <c r="AR104" s="56"/>
      <c r="AS104" s="56"/>
      <c r="AT104" s="56"/>
      <c r="AU104" s="56"/>
      <c r="AV104" s="194"/>
    </row>
    <row r="105" spans="1:48" outlineLevel="1" x14ac:dyDescent="0.3">
      <c r="B105" s="46" t="s">
        <v>124</v>
      </c>
      <c r="C105" s="44"/>
      <c r="D105" s="157">
        <f>+D92-D103+D104</f>
        <v>229.99999999999991</v>
      </c>
      <c r="E105" s="157">
        <f t="shared" ref="E105:V105" si="98">+E92-E103+E104</f>
        <v>201.80000000000004</v>
      </c>
      <c r="F105" s="157">
        <f t="shared" si="98"/>
        <v>270.19999999999976</v>
      </c>
      <c r="G105" s="157">
        <f t="shared" si="98"/>
        <v>262.69999999999987</v>
      </c>
      <c r="H105" s="133">
        <f>SUM(D105:G105)</f>
        <v>964.69999999999959</v>
      </c>
      <c r="I105" s="157">
        <f t="shared" si="98"/>
        <v>275.89999999999998</v>
      </c>
      <c r="J105" s="157">
        <f t="shared" si="98"/>
        <v>-15.400000000000045</v>
      </c>
      <c r="K105" s="157">
        <f>+K92-K103+K104</f>
        <v>-85.999999999999744</v>
      </c>
      <c r="L105" s="157">
        <f t="shared" si="98"/>
        <v>181.69999999999976</v>
      </c>
      <c r="M105" s="133">
        <f>SUM(I105:L105)</f>
        <v>356.19999999999993</v>
      </c>
      <c r="N105" s="157">
        <f t="shared" si="98"/>
        <v>274.8</v>
      </c>
      <c r="O105" s="157">
        <f t="shared" si="98"/>
        <v>251.50000000000006</v>
      </c>
      <c r="P105" s="157">
        <f t="shared" si="98"/>
        <v>318.29999999999995</v>
      </c>
      <c r="Q105" s="157">
        <f t="shared" si="98"/>
        <v>377.39999999999992</v>
      </c>
      <c r="R105" s="97">
        <f>SUM(N105:Q105)</f>
        <v>1222</v>
      </c>
      <c r="S105" s="74">
        <f t="shared" si="98"/>
        <v>299.59999999999985</v>
      </c>
      <c r="T105" s="74">
        <f t="shared" si="98"/>
        <v>180.70000000000013</v>
      </c>
      <c r="U105" s="74">
        <f t="shared" si="98"/>
        <v>135.3000000000001</v>
      </c>
      <c r="V105" s="74"/>
      <c r="W105" s="97"/>
      <c r="X105" s="74"/>
      <c r="Y105" s="74"/>
      <c r="Z105" s="74"/>
      <c r="AA105" s="74"/>
      <c r="AB105" s="97"/>
      <c r="AC105" s="74"/>
      <c r="AD105" s="74"/>
      <c r="AE105" s="74"/>
      <c r="AF105" s="74"/>
      <c r="AG105" s="97"/>
      <c r="AH105" s="74"/>
      <c r="AI105" s="74"/>
      <c r="AJ105" s="74"/>
      <c r="AK105" s="74"/>
      <c r="AL105" s="97"/>
      <c r="AM105" s="74"/>
      <c r="AN105" s="74"/>
      <c r="AO105" s="74"/>
      <c r="AP105" s="74"/>
      <c r="AQ105" s="97"/>
      <c r="AR105" s="74"/>
      <c r="AS105" s="74"/>
      <c r="AT105" s="74"/>
      <c r="AU105" s="74"/>
      <c r="AV105" s="97"/>
    </row>
    <row r="106" spans="1:48" outlineLevel="1" x14ac:dyDescent="0.3">
      <c r="B106" s="46" t="s">
        <v>125</v>
      </c>
      <c r="C106" s="44"/>
      <c r="D106" s="158">
        <f t="shared" ref="D106:G106" si="99">+D105/D92</f>
        <v>0.15292553191489355</v>
      </c>
      <c r="E106" s="158">
        <f t="shared" si="99"/>
        <v>0.1319471688243756</v>
      </c>
      <c r="F106" s="158">
        <f t="shared" si="99"/>
        <v>0.17044092600769556</v>
      </c>
      <c r="G106" s="158">
        <f t="shared" si="99"/>
        <v>0.16710132943196987</v>
      </c>
      <c r="H106" s="134">
        <f>H105/H92</f>
        <v>0.15582800284292814</v>
      </c>
      <c r="I106" s="158">
        <f t="shared" ref="I106:L106" si="100">+I105/I92</f>
        <v>0.17560944561135511</v>
      </c>
      <c r="J106" s="158">
        <f t="shared" si="100"/>
        <v>-1.3573065397496956E-2</v>
      </c>
      <c r="K106" s="158">
        <f t="shared" si="100"/>
        <v>-9.0564448188710761E-2</v>
      </c>
      <c r="L106" s="158">
        <f t="shared" si="100"/>
        <v>0.12022761860649757</v>
      </c>
      <c r="M106" s="134">
        <f>M105/M92</f>
        <v>6.8942825068710564E-2</v>
      </c>
      <c r="N106" s="158">
        <f t="shared" ref="N106:Q106" si="101">+N105/N92</f>
        <v>0.16611255515928189</v>
      </c>
      <c r="O106" s="158">
        <f t="shared" si="101"/>
        <v>0.1561239058911168</v>
      </c>
      <c r="P106" s="158">
        <f t="shared" si="101"/>
        <v>0.19193198263386396</v>
      </c>
      <c r="Q106" s="158">
        <f t="shared" si="101"/>
        <v>0.19711689125665932</v>
      </c>
      <c r="R106" s="98">
        <f>R105/R92</f>
        <v>0.17870199760170807</v>
      </c>
      <c r="S106" s="75">
        <f t="shared" ref="S106:V106" si="102">+S105/S92</f>
        <v>0.15971000586385195</v>
      </c>
      <c r="T106" s="75">
        <f t="shared" si="102"/>
        <v>0.1061442669172933</v>
      </c>
      <c r="U106" s="75">
        <f t="shared" si="102"/>
        <v>8.5378936076228998E-2</v>
      </c>
      <c r="V106" s="75"/>
      <c r="W106" s="98"/>
      <c r="X106" s="75"/>
      <c r="Y106" s="75"/>
      <c r="Z106" s="75"/>
      <c r="AA106" s="75"/>
      <c r="AB106" s="98"/>
      <c r="AC106" s="75"/>
      <c r="AD106" s="75"/>
      <c r="AE106" s="75"/>
      <c r="AF106" s="75"/>
      <c r="AG106" s="98"/>
      <c r="AH106" s="75"/>
      <c r="AI106" s="75"/>
      <c r="AJ106" s="75"/>
      <c r="AK106" s="75"/>
      <c r="AL106" s="98"/>
      <c r="AM106" s="75"/>
      <c r="AN106" s="75"/>
      <c r="AO106" s="75"/>
      <c r="AP106" s="75"/>
      <c r="AQ106" s="98"/>
      <c r="AR106" s="75"/>
      <c r="AS106" s="75"/>
      <c r="AT106" s="75"/>
      <c r="AU106" s="75"/>
      <c r="AV106" s="98"/>
    </row>
    <row r="107" spans="1:48" ht="17.399999999999999" x14ac:dyDescent="0.45">
      <c r="B107" s="388" t="s">
        <v>51</v>
      </c>
      <c r="C107" s="389"/>
      <c r="D107" s="14" t="s">
        <v>19</v>
      </c>
      <c r="E107" s="14" t="s">
        <v>81</v>
      </c>
      <c r="F107" s="14" t="s">
        <v>85</v>
      </c>
      <c r="G107" s="14" t="s">
        <v>95</v>
      </c>
      <c r="H107" s="40" t="s">
        <v>96</v>
      </c>
      <c r="I107" s="14" t="s">
        <v>97</v>
      </c>
      <c r="J107" s="14" t="s">
        <v>98</v>
      </c>
      <c r="K107" s="14" t="s">
        <v>99</v>
      </c>
      <c r="L107" s="14" t="s">
        <v>143</v>
      </c>
      <c r="M107" s="40" t="s">
        <v>144</v>
      </c>
      <c r="N107" s="14" t="s">
        <v>150</v>
      </c>
      <c r="O107" s="14" t="s">
        <v>158</v>
      </c>
      <c r="P107" s="14" t="s">
        <v>160</v>
      </c>
      <c r="Q107" s="14" t="s">
        <v>173</v>
      </c>
      <c r="R107" s="40" t="s">
        <v>174</v>
      </c>
      <c r="S107" s="14" t="s">
        <v>189</v>
      </c>
      <c r="T107" s="14" t="s">
        <v>190</v>
      </c>
      <c r="U107" s="14" t="s">
        <v>205</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165</v>
      </c>
      <c r="AN107" s="12" t="s">
        <v>166</v>
      </c>
      <c r="AO107" s="12" t="s">
        <v>167</v>
      </c>
      <c r="AP107" s="12" t="s">
        <v>168</v>
      </c>
      <c r="AQ107" s="42" t="s">
        <v>169</v>
      </c>
      <c r="AR107" s="12" t="s">
        <v>196</v>
      </c>
      <c r="AS107" s="12" t="s">
        <v>197</v>
      </c>
      <c r="AT107" s="12" t="s">
        <v>198</v>
      </c>
      <c r="AU107" s="12" t="s">
        <v>199</v>
      </c>
      <c r="AV107" s="42" t="s">
        <v>200</v>
      </c>
    </row>
    <row r="108" spans="1:48" s="8" customFormat="1" outlineLevel="1" x14ac:dyDescent="0.3">
      <c r="B108" s="394" t="s">
        <v>126</v>
      </c>
      <c r="C108" s="395"/>
      <c r="D108" s="50">
        <v>504.6</v>
      </c>
      <c r="E108" s="50">
        <v>446.6</v>
      </c>
      <c r="F108" s="103">
        <v>533.29999999999995</v>
      </c>
      <c r="G108" s="50">
        <v>508.1</v>
      </c>
      <c r="H108" s="31">
        <f>SUM(D108:G108)</f>
        <v>1992.6</v>
      </c>
      <c r="I108" s="50">
        <v>494.6</v>
      </c>
      <c r="J108" s="50">
        <v>519.1</v>
      </c>
      <c r="K108" s="50">
        <v>447.3</v>
      </c>
      <c r="L108" s="50">
        <v>464</v>
      </c>
      <c r="M108" s="31">
        <f>SUM(I108:L108)</f>
        <v>1925</v>
      </c>
      <c r="N108" s="50">
        <v>371.4</v>
      </c>
      <c r="O108" s="50">
        <v>369.9</v>
      </c>
      <c r="P108" s="50">
        <v>414</v>
      </c>
      <c r="Q108" s="103">
        <v>438.3</v>
      </c>
      <c r="R108" s="127">
        <f>SUM(N108:Q108)</f>
        <v>1593.6</v>
      </c>
      <c r="S108" s="50">
        <v>417.1</v>
      </c>
      <c r="T108" s="50">
        <v>463.1</v>
      </c>
      <c r="U108" s="50">
        <v>479.7</v>
      </c>
      <c r="V108" s="50"/>
      <c r="W108" s="31"/>
      <c r="X108" s="50"/>
      <c r="Y108" s="50"/>
      <c r="Z108" s="50"/>
      <c r="AA108" s="50"/>
      <c r="AB108" s="31"/>
      <c r="AC108" s="50"/>
      <c r="AD108" s="50"/>
      <c r="AE108" s="50"/>
      <c r="AF108" s="50"/>
      <c r="AG108" s="31"/>
      <c r="AH108" s="50"/>
      <c r="AI108" s="50"/>
      <c r="AJ108" s="50"/>
      <c r="AK108" s="50"/>
      <c r="AL108" s="31"/>
      <c r="AM108" s="50"/>
      <c r="AN108" s="50"/>
      <c r="AO108" s="50"/>
      <c r="AP108" s="50"/>
      <c r="AQ108" s="31"/>
      <c r="AR108" s="50"/>
      <c r="AS108" s="50"/>
      <c r="AT108" s="50"/>
      <c r="AU108" s="50"/>
      <c r="AV108" s="31"/>
    </row>
    <row r="109" spans="1:48" outlineLevel="1" x14ac:dyDescent="0.3">
      <c r="B109" s="69" t="s">
        <v>58</v>
      </c>
      <c r="C109" s="70"/>
      <c r="D109" s="120"/>
      <c r="E109" s="120"/>
      <c r="F109" s="120"/>
      <c r="G109" s="120"/>
      <c r="H109" s="58"/>
      <c r="I109" s="120">
        <f>I108/D108-1</f>
        <v>-1.9817677368212494E-2</v>
      </c>
      <c r="J109" s="120">
        <f t="shared" ref="J109" si="103">J108/E108-1</f>
        <v>0.16233766233766223</v>
      </c>
      <c r="K109" s="120">
        <f>K108/F108-1</f>
        <v>-0.1612600787549221</v>
      </c>
      <c r="L109" s="120">
        <f>L108/G108-1</f>
        <v>-8.6793938201141563E-2</v>
      </c>
      <c r="M109" s="169">
        <f>M108/H108-1</f>
        <v>-3.3925524440429511E-2</v>
      </c>
      <c r="N109" s="120">
        <f>N108/I108-1</f>
        <v>-0.24909017387788124</v>
      </c>
      <c r="O109" s="120">
        <f t="shared" ref="O109" si="104">O108/J108-1</f>
        <v>-0.28742053554228475</v>
      </c>
      <c r="P109" s="120">
        <f>P108/K108-1</f>
        <v>-7.4446680080482941E-2</v>
      </c>
      <c r="Q109" s="120">
        <f>Q108/L108-1</f>
        <v>-5.5387931034482696E-2</v>
      </c>
      <c r="R109" s="169">
        <f>R108/M108-1</f>
        <v>-0.17215584415584417</v>
      </c>
      <c r="S109" s="120">
        <f>S108/N108-1</f>
        <v>0.12304792676359733</v>
      </c>
      <c r="T109" s="120">
        <f t="shared" ref="T109:U109" si="105">T108/O108-1</f>
        <v>0.25195998918626672</v>
      </c>
      <c r="U109" s="120">
        <f t="shared" si="105"/>
        <v>0.15869565217391313</v>
      </c>
      <c r="V109" s="199"/>
      <c r="W109" s="169"/>
      <c r="X109" s="199"/>
      <c r="Y109" s="199"/>
      <c r="Z109" s="199"/>
      <c r="AA109" s="199"/>
      <c r="AB109" s="169"/>
      <c r="AC109" s="199"/>
      <c r="AD109" s="199"/>
      <c r="AE109" s="199"/>
      <c r="AF109" s="199"/>
      <c r="AG109" s="169"/>
      <c r="AH109" s="199"/>
      <c r="AI109" s="199"/>
      <c r="AJ109" s="199"/>
      <c r="AK109" s="199"/>
      <c r="AL109" s="169"/>
      <c r="AM109" s="199"/>
      <c r="AN109" s="199"/>
      <c r="AO109" s="199"/>
      <c r="AP109" s="199"/>
      <c r="AQ109" s="169"/>
      <c r="AR109" s="199"/>
      <c r="AS109" s="199"/>
      <c r="AT109" s="199"/>
      <c r="AU109" s="199"/>
      <c r="AV109" s="169"/>
    </row>
    <row r="110" spans="1:48" outlineLevel="1" x14ac:dyDescent="0.3">
      <c r="B110" s="414" t="s">
        <v>100</v>
      </c>
      <c r="C110" s="415"/>
      <c r="D110" s="48">
        <v>348.4</v>
      </c>
      <c r="E110" s="48">
        <v>305.39999999999998</v>
      </c>
      <c r="F110" s="48">
        <v>377.1</v>
      </c>
      <c r="G110" s="48">
        <v>359.1</v>
      </c>
      <c r="H110" s="76">
        <f>SUM(D110:G110)</f>
        <v>1390</v>
      </c>
      <c r="I110" s="48">
        <v>338.8</v>
      </c>
      <c r="J110" s="48">
        <v>351.6</v>
      </c>
      <c r="K110" s="48">
        <v>319.89999999999998</v>
      </c>
      <c r="L110" s="48">
        <v>327.8</v>
      </c>
      <c r="M110" s="76">
        <f>SUM(I110:L110)</f>
        <v>1338.1000000000001</v>
      </c>
      <c r="N110" s="48">
        <v>233.5</v>
      </c>
      <c r="O110" s="48">
        <v>231.9</v>
      </c>
      <c r="P110" s="48">
        <v>268.3</v>
      </c>
      <c r="Q110" s="105">
        <v>277.5</v>
      </c>
      <c r="R110" s="76">
        <f>SUM(N110:Q110)</f>
        <v>1011.2</v>
      </c>
      <c r="S110" s="48">
        <v>258.8</v>
      </c>
      <c r="T110" s="48">
        <v>300.5</v>
      </c>
      <c r="U110" s="48">
        <v>325.8</v>
      </c>
      <c r="V110" s="48"/>
      <c r="W110" s="76"/>
      <c r="X110" s="48"/>
      <c r="Y110" s="48"/>
      <c r="Z110" s="48"/>
      <c r="AA110" s="48"/>
      <c r="AB110" s="76"/>
      <c r="AC110" s="48"/>
      <c r="AD110" s="48"/>
      <c r="AE110" s="48"/>
      <c r="AF110" s="48"/>
      <c r="AG110" s="76"/>
      <c r="AH110" s="48"/>
      <c r="AI110" s="48"/>
      <c r="AJ110" s="48"/>
      <c r="AK110" s="48"/>
      <c r="AL110" s="76"/>
      <c r="AM110" s="48"/>
      <c r="AN110" s="48"/>
      <c r="AO110" s="48"/>
      <c r="AP110" s="48"/>
      <c r="AQ110" s="76"/>
      <c r="AR110" s="48"/>
      <c r="AS110" s="48"/>
      <c r="AT110" s="48"/>
      <c r="AU110" s="48"/>
      <c r="AV110" s="76"/>
    </row>
    <row r="111" spans="1:48" s="184" customFormat="1" outlineLevel="1" x14ac:dyDescent="0.3">
      <c r="A111" s="249"/>
      <c r="B111" s="182" t="s">
        <v>152</v>
      </c>
      <c r="C111" s="183"/>
      <c r="D111" s="168">
        <f>D110/D108</f>
        <v>0.69044787950852149</v>
      </c>
      <c r="E111" s="168">
        <f t="shared" ref="E111:U111" si="106">E110/E108</f>
        <v>0.68383340797133896</v>
      </c>
      <c r="F111" s="168">
        <f t="shared" si="106"/>
        <v>0.70710669416838567</v>
      </c>
      <c r="G111" s="168">
        <f t="shared" si="106"/>
        <v>0.70675063963786655</v>
      </c>
      <c r="H111" s="189">
        <f t="shared" si="106"/>
        <v>0.69758104988457292</v>
      </c>
      <c r="I111" s="168">
        <f t="shared" si="106"/>
        <v>0.68499797816417307</v>
      </c>
      <c r="J111" s="168">
        <f t="shared" si="106"/>
        <v>0.6773261413985745</v>
      </c>
      <c r="K111" s="168">
        <f t="shared" si="106"/>
        <v>0.71517996870109535</v>
      </c>
      <c r="L111" s="188">
        <f t="shared" si="106"/>
        <v>0.70646551724137929</v>
      </c>
      <c r="M111" s="189">
        <f t="shared" si="106"/>
        <v>0.69511688311688313</v>
      </c>
      <c r="N111" s="188">
        <f t="shared" si="106"/>
        <v>0.62870220786214326</v>
      </c>
      <c r="O111" s="168">
        <f t="shared" si="106"/>
        <v>0.62692619626926205</v>
      </c>
      <c r="P111" s="168">
        <f t="shared" si="106"/>
        <v>0.6480676328502416</v>
      </c>
      <c r="Q111" s="168">
        <f t="shared" si="106"/>
        <v>0.63312799452429835</v>
      </c>
      <c r="R111" s="189">
        <f t="shared" ref="R111" si="107">R110/R108</f>
        <v>0.63453815261044189</v>
      </c>
      <c r="S111" s="188">
        <f t="shared" si="106"/>
        <v>0.62047470630544233</v>
      </c>
      <c r="T111" s="168">
        <f t="shared" si="106"/>
        <v>0.64888792917296478</v>
      </c>
      <c r="U111" s="168">
        <f t="shared" si="106"/>
        <v>0.67917448405253289</v>
      </c>
      <c r="V111" s="190"/>
      <c r="W111" s="189"/>
      <c r="X111" s="190"/>
      <c r="Y111" s="190"/>
      <c r="Z111" s="190"/>
      <c r="AA111" s="190"/>
      <c r="AB111" s="189"/>
      <c r="AC111" s="190"/>
      <c r="AD111" s="190"/>
      <c r="AE111" s="190"/>
      <c r="AF111" s="190"/>
      <c r="AG111" s="189"/>
      <c r="AH111" s="190"/>
      <c r="AI111" s="190"/>
      <c r="AJ111" s="190"/>
      <c r="AK111" s="190"/>
      <c r="AL111" s="189"/>
      <c r="AM111" s="190"/>
      <c r="AN111" s="190"/>
      <c r="AO111" s="190"/>
      <c r="AP111" s="190"/>
      <c r="AQ111" s="189"/>
      <c r="AR111" s="190"/>
      <c r="AS111" s="190"/>
      <c r="AT111" s="190"/>
      <c r="AU111" s="190"/>
      <c r="AV111" s="189"/>
    </row>
    <row r="112" spans="1:48" outlineLevel="1" x14ac:dyDescent="0.3">
      <c r="B112" s="181" t="s">
        <v>33</v>
      </c>
      <c r="C112" s="18"/>
      <c r="D112" s="48">
        <v>18.600000000000001</v>
      </c>
      <c r="E112" s="48">
        <v>17.100000000000001</v>
      </c>
      <c r="F112" s="48">
        <v>20.2</v>
      </c>
      <c r="G112" s="48">
        <v>20.3</v>
      </c>
      <c r="H112" s="49">
        <f>SUM(D112:G112)</f>
        <v>76.2</v>
      </c>
      <c r="I112" s="48">
        <v>20.6</v>
      </c>
      <c r="J112" s="48">
        <v>17.7</v>
      </c>
      <c r="K112" s="48">
        <v>51.4</v>
      </c>
      <c r="L112" s="48">
        <v>18.5</v>
      </c>
      <c r="M112" s="49">
        <f>SUM(I112:L112)</f>
        <v>108.19999999999999</v>
      </c>
      <c r="N112" s="48">
        <v>11.1</v>
      </c>
      <c r="O112" s="48">
        <v>13.1</v>
      </c>
      <c r="P112" s="48">
        <v>-9.9</v>
      </c>
      <c r="Q112" s="105">
        <v>17</v>
      </c>
      <c r="R112" s="49">
        <f>SUM(N112:Q112)</f>
        <v>31.299999999999997</v>
      </c>
      <c r="S112" s="48">
        <v>11.4</v>
      </c>
      <c r="T112" s="48">
        <v>10.7</v>
      </c>
      <c r="U112" s="48">
        <v>13.6</v>
      </c>
      <c r="V112" s="48"/>
      <c r="W112" s="49"/>
      <c r="X112" s="48"/>
      <c r="Y112" s="48"/>
      <c r="Z112" s="48"/>
      <c r="AA112" s="48"/>
      <c r="AB112" s="49"/>
      <c r="AC112" s="48"/>
      <c r="AD112" s="48"/>
      <c r="AE112" s="48"/>
      <c r="AF112" s="48"/>
      <c r="AG112" s="49"/>
      <c r="AH112" s="48"/>
      <c r="AI112" s="48"/>
      <c r="AJ112" s="48"/>
      <c r="AK112" s="48"/>
      <c r="AL112" s="49"/>
      <c r="AM112" s="48"/>
      <c r="AN112" s="48"/>
      <c r="AO112" s="48"/>
      <c r="AP112" s="48"/>
      <c r="AQ112" s="49"/>
      <c r="AR112" s="48"/>
      <c r="AS112" s="48"/>
      <c r="AT112" s="48"/>
      <c r="AU112" s="48"/>
      <c r="AV112" s="49"/>
    </row>
    <row r="113" spans="2:48" s="185" customFormat="1" outlineLevel="1" x14ac:dyDescent="0.3">
      <c r="B113" s="182" t="s">
        <v>155</v>
      </c>
      <c r="C113" s="191"/>
      <c r="D113" s="188">
        <f>D112/D108</f>
        <v>3.6860879904875153E-2</v>
      </c>
      <c r="E113" s="188">
        <f t="shared" ref="E113:U113" si="108">E112/E108</f>
        <v>3.8289296909986566E-2</v>
      </c>
      <c r="F113" s="188">
        <f t="shared" si="108"/>
        <v>3.7877367335458469E-2</v>
      </c>
      <c r="G113" s="188">
        <f t="shared" si="108"/>
        <v>3.9952765203700058E-2</v>
      </c>
      <c r="H113" s="189">
        <f t="shared" si="108"/>
        <v>3.8241493526046375E-2</v>
      </c>
      <c r="I113" s="188">
        <f t="shared" si="108"/>
        <v>4.1649818034775576E-2</v>
      </c>
      <c r="J113" s="188">
        <f t="shared" si="108"/>
        <v>3.4097476401464072E-2</v>
      </c>
      <c r="K113" s="188">
        <f t="shared" si="108"/>
        <v>0.11491169237648111</v>
      </c>
      <c r="L113" s="188">
        <f t="shared" si="108"/>
        <v>3.9870689655172417E-2</v>
      </c>
      <c r="M113" s="189">
        <f t="shared" si="108"/>
        <v>5.62077922077922E-2</v>
      </c>
      <c r="N113" s="188">
        <f t="shared" si="108"/>
        <v>2.9886914378029081E-2</v>
      </c>
      <c r="O113" s="188">
        <f t="shared" si="108"/>
        <v>3.5414977020816439E-2</v>
      </c>
      <c r="P113" s="188">
        <f t="shared" si="108"/>
        <v>-2.391304347826087E-2</v>
      </c>
      <c r="Q113" s="168">
        <f t="shared" si="108"/>
        <v>3.8786219484371436E-2</v>
      </c>
      <c r="R113" s="189">
        <f t="shared" ref="R113" si="109">R112/R108</f>
        <v>1.964106425702811E-2</v>
      </c>
      <c r="S113" s="188">
        <f t="shared" si="108"/>
        <v>2.7331575161831694E-2</v>
      </c>
      <c r="T113" s="188">
        <f t="shared" si="108"/>
        <v>2.3105160872381774E-2</v>
      </c>
      <c r="U113" s="188">
        <f t="shared" si="108"/>
        <v>2.8351052741296644E-2</v>
      </c>
      <c r="V113" s="190"/>
      <c r="W113" s="189"/>
      <c r="X113" s="190"/>
      <c r="Y113" s="190"/>
      <c r="Z113" s="190"/>
      <c r="AA113" s="190"/>
      <c r="AB113" s="189"/>
      <c r="AC113" s="190"/>
      <c r="AD113" s="190"/>
      <c r="AE113" s="190"/>
      <c r="AF113" s="190"/>
      <c r="AG113" s="189"/>
      <c r="AH113" s="190"/>
      <c r="AI113" s="190"/>
      <c r="AJ113" s="190"/>
      <c r="AK113" s="190"/>
      <c r="AL113" s="189"/>
      <c r="AM113" s="190"/>
      <c r="AN113" s="190"/>
      <c r="AO113" s="190"/>
      <c r="AP113" s="190"/>
      <c r="AQ113" s="189"/>
      <c r="AR113" s="190"/>
      <c r="AS113" s="190"/>
      <c r="AT113" s="190"/>
      <c r="AU113" s="190"/>
      <c r="AV113" s="189"/>
    </row>
    <row r="114" spans="2:48" outlineLevel="1" x14ac:dyDescent="0.3">
      <c r="B114" s="181" t="s">
        <v>34</v>
      </c>
      <c r="C114" s="18"/>
      <c r="D114" s="384">
        <v>0</v>
      </c>
      <c r="E114" s="384">
        <v>12.3</v>
      </c>
      <c r="F114" s="384">
        <v>0.2</v>
      </c>
      <c r="G114" s="384">
        <v>0.3</v>
      </c>
      <c r="H114" s="127">
        <f>SUM(D114:G114)</f>
        <v>12.8</v>
      </c>
      <c r="I114" s="384">
        <v>0.3</v>
      </c>
      <c r="J114" s="384">
        <v>0.3</v>
      </c>
      <c r="K114" s="384">
        <v>0.3</v>
      </c>
      <c r="L114" s="384">
        <v>0.3</v>
      </c>
      <c r="M114" s="127">
        <f>SUM(I114:L114)</f>
        <v>1.2</v>
      </c>
      <c r="N114" s="384">
        <v>0.2</v>
      </c>
      <c r="O114" s="384">
        <v>0.3</v>
      </c>
      <c r="P114" s="384">
        <v>0.2</v>
      </c>
      <c r="Q114" s="384">
        <v>0.3</v>
      </c>
      <c r="R114" s="127">
        <f>SUM(N114:Q114)</f>
        <v>1</v>
      </c>
      <c r="S114" s="384">
        <v>0</v>
      </c>
      <c r="T114" s="384">
        <v>0</v>
      </c>
      <c r="U114" s="384">
        <v>0</v>
      </c>
      <c r="V114" s="386"/>
      <c r="W114" s="127"/>
      <c r="X114" s="386"/>
      <c r="Y114" s="386"/>
      <c r="Z114" s="386"/>
      <c r="AA114" s="386"/>
      <c r="AB114" s="127"/>
      <c r="AC114" s="386"/>
      <c r="AD114" s="386"/>
      <c r="AE114" s="386"/>
      <c r="AF114" s="386"/>
      <c r="AG114" s="127"/>
      <c r="AH114" s="386"/>
      <c r="AI114" s="386"/>
      <c r="AJ114" s="386"/>
      <c r="AK114" s="386"/>
      <c r="AL114" s="127"/>
      <c r="AM114" s="386"/>
      <c r="AN114" s="386"/>
      <c r="AO114" s="386"/>
      <c r="AP114" s="386"/>
      <c r="AQ114" s="127"/>
      <c r="AR114" s="386"/>
      <c r="AS114" s="386"/>
      <c r="AT114" s="386"/>
      <c r="AU114" s="386"/>
      <c r="AV114" s="127"/>
    </row>
    <row r="115" spans="2:48" outlineLevel="1" x14ac:dyDescent="0.3">
      <c r="B115" s="181" t="s">
        <v>35</v>
      </c>
      <c r="C115" s="18"/>
      <c r="D115" s="48">
        <v>3.2</v>
      </c>
      <c r="E115" s="48">
        <v>3.1</v>
      </c>
      <c r="F115" s="48">
        <v>2.7</v>
      </c>
      <c r="G115" s="48">
        <v>2.6</v>
      </c>
      <c r="H115" s="49">
        <f>SUM(D115:G115)</f>
        <v>11.6</v>
      </c>
      <c r="I115" s="48">
        <v>2.4</v>
      </c>
      <c r="J115" s="48">
        <v>3</v>
      </c>
      <c r="K115" s="48">
        <v>2.5</v>
      </c>
      <c r="L115" s="48">
        <v>2.5</v>
      </c>
      <c r="M115" s="49">
        <f>SUM(I115:L115)</f>
        <v>10.4</v>
      </c>
      <c r="N115" s="48">
        <v>2.2000000000000002</v>
      </c>
      <c r="O115" s="48">
        <v>2.2999999999999998</v>
      </c>
      <c r="P115" s="48">
        <v>2.9</v>
      </c>
      <c r="Q115" s="105">
        <v>3.4</v>
      </c>
      <c r="R115" s="49">
        <f>SUM(N115:Q115)</f>
        <v>10.8</v>
      </c>
      <c r="S115" s="48">
        <v>3.3</v>
      </c>
      <c r="T115" s="48">
        <v>2.5</v>
      </c>
      <c r="U115" s="48">
        <v>2.2999999999999998</v>
      </c>
      <c r="V115" s="48"/>
      <c r="W115" s="49"/>
      <c r="X115" s="48"/>
      <c r="Y115" s="48"/>
      <c r="Z115" s="48"/>
      <c r="AA115" s="48"/>
      <c r="AB115" s="49"/>
      <c r="AC115" s="48"/>
      <c r="AD115" s="48"/>
      <c r="AE115" s="48"/>
      <c r="AF115" s="48"/>
      <c r="AG115" s="49"/>
      <c r="AH115" s="48"/>
      <c r="AI115" s="48"/>
      <c r="AJ115" s="48"/>
      <c r="AK115" s="48"/>
      <c r="AL115" s="49"/>
      <c r="AM115" s="48"/>
      <c r="AN115" s="48"/>
      <c r="AO115" s="48"/>
      <c r="AP115" s="48"/>
      <c r="AQ115" s="49"/>
      <c r="AR115" s="48"/>
      <c r="AS115" s="48"/>
      <c r="AT115" s="48"/>
      <c r="AU115" s="48"/>
      <c r="AV115" s="49"/>
    </row>
    <row r="116" spans="2:48" s="185" customFormat="1" outlineLevel="1" x14ac:dyDescent="0.3">
      <c r="B116" s="182" t="s">
        <v>154</v>
      </c>
      <c r="C116" s="191"/>
      <c r="D116" s="188">
        <f>D115/D108</f>
        <v>6.3416567578279829E-3</v>
      </c>
      <c r="E116" s="188">
        <f t="shared" ref="E116:Q116" si="110">E115/E108</f>
        <v>6.9413345275414241E-3</v>
      </c>
      <c r="F116" s="188">
        <f t="shared" si="110"/>
        <v>5.0628164260266275E-3</v>
      </c>
      <c r="G116" s="188">
        <f t="shared" si="110"/>
        <v>5.1171029324936033E-3</v>
      </c>
      <c r="H116" s="189">
        <f t="shared" si="110"/>
        <v>5.8215396968784505E-3</v>
      </c>
      <c r="I116" s="188">
        <f t="shared" si="110"/>
        <v>4.8524059846340476E-3</v>
      </c>
      <c r="J116" s="188">
        <f t="shared" si="110"/>
        <v>5.7792332883837404E-3</v>
      </c>
      <c r="K116" s="188">
        <f t="shared" si="110"/>
        <v>5.5890900961323492E-3</v>
      </c>
      <c r="L116" s="188">
        <f t="shared" si="110"/>
        <v>5.387931034482759E-3</v>
      </c>
      <c r="M116" s="189">
        <f t="shared" si="110"/>
        <v>5.4025974025974028E-3</v>
      </c>
      <c r="N116" s="188">
        <f t="shared" si="110"/>
        <v>5.9235325794291874E-3</v>
      </c>
      <c r="O116" s="188">
        <f t="shared" si="110"/>
        <v>6.2178967288456337E-3</v>
      </c>
      <c r="P116" s="188">
        <f t="shared" si="110"/>
        <v>7.0048309178743955E-3</v>
      </c>
      <c r="Q116" s="168">
        <f t="shared" si="110"/>
        <v>7.7572438968742862E-3</v>
      </c>
      <c r="R116" s="189">
        <f t="shared" ref="R116:U116" si="111">R115/R108</f>
        <v>6.7771084337349408E-3</v>
      </c>
      <c r="S116" s="188">
        <f t="shared" si="111"/>
        <v>7.9117717573723313E-3</v>
      </c>
      <c r="T116" s="188">
        <f t="shared" si="111"/>
        <v>5.3984020729863956E-3</v>
      </c>
      <c r="U116" s="188">
        <f t="shared" si="111"/>
        <v>4.7946633312486971E-3</v>
      </c>
      <c r="V116" s="190"/>
      <c r="W116" s="189"/>
      <c r="X116" s="190"/>
      <c r="Y116" s="190"/>
      <c r="Z116" s="190"/>
      <c r="AA116" s="190"/>
      <c r="AB116" s="189"/>
      <c r="AC116" s="190"/>
      <c r="AD116" s="190"/>
      <c r="AE116" s="190"/>
      <c r="AF116" s="190"/>
      <c r="AG116" s="189"/>
      <c r="AH116" s="190"/>
      <c r="AI116" s="190"/>
      <c r="AJ116" s="190"/>
      <c r="AK116" s="190"/>
      <c r="AL116" s="189"/>
      <c r="AM116" s="190"/>
      <c r="AN116" s="190"/>
      <c r="AO116" s="190"/>
      <c r="AP116" s="190"/>
      <c r="AQ116" s="189"/>
      <c r="AR116" s="190"/>
      <c r="AS116" s="190"/>
      <c r="AT116" s="190"/>
      <c r="AU116" s="190"/>
      <c r="AV116" s="189"/>
    </row>
    <row r="117" spans="2:48" ht="16.2" outlineLevel="1" x14ac:dyDescent="0.45">
      <c r="B117" s="181" t="s">
        <v>42</v>
      </c>
      <c r="C117" s="18"/>
      <c r="D117" s="119">
        <v>0</v>
      </c>
      <c r="E117" s="119">
        <v>0</v>
      </c>
      <c r="F117" s="119">
        <v>0</v>
      </c>
      <c r="G117" s="119">
        <v>0</v>
      </c>
      <c r="H117" s="132">
        <f>SUM(D117:G117)</f>
        <v>0</v>
      </c>
      <c r="I117" s="119">
        <v>0</v>
      </c>
      <c r="J117" s="119">
        <v>0</v>
      </c>
      <c r="K117" s="119">
        <v>0</v>
      </c>
      <c r="L117" s="119">
        <v>0</v>
      </c>
      <c r="M117" s="132">
        <f>SUM(I117:L117)</f>
        <v>0</v>
      </c>
      <c r="N117" s="119">
        <v>0</v>
      </c>
      <c r="O117" s="119">
        <v>0</v>
      </c>
      <c r="P117" s="119">
        <v>0</v>
      </c>
      <c r="Q117" s="119">
        <v>0</v>
      </c>
      <c r="R117" s="132">
        <f>SUM(N117:Q117)</f>
        <v>0</v>
      </c>
      <c r="S117" s="119">
        <v>0</v>
      </c>
      <c r="T117" s="119">
        <v>0</v>
      </c>
      <c r="U117" s="119">
        <v>0</v>
      </c>
      <c r="V117" s="123"/>
      <c r="W117" s="132"/>
      <c r="X117" s="123"/>
      <c r="Y117" s="123"/>
      <c r="Z117" s="123"/>
      <c r="AA117" s="123"/>
      <c r="AB117" s="132"/>
      <c r="AC117" s="123"/>
      <c r="AD117" s="123"/>
      <c r="AE117" s="123"/>
      <c r="AF117" s="123"/>
      <c r="AG117" s="132"/>
      <c r="AH117" s="123"/>
      <c r="AI117" s="123"/>
      <c r="AJ117" s="123"/>
      <c r="AK117" s="123"/>
      <c r="AL117" s="132"/>
      <c r="AM117" s="123"/>
      <c r="AN117" s="123"/>
      <c r="AO117" s="123"/>
      <c r="AP117" s="123"/>
      <c r="AQ117" s="132"/>
      <c r="AR117" s="123"/>
      <c r="AS117" s="123"/>
      <c r="AT117" s="123"/>
      <c r="AU117" s="123"/>
      <c r="AV117" s="132"/>
    </row>
    <row r="118" spans="2:48" outlineLevel="1" x14ac:dyDescent="0.3">
      <c r="B118" s="46" t="s">
        <v>52</v>
      </c>
      <c r="C118" s="19"/>
      <c r="D118" s="50">
        <f>D110+D112+D114+D115+D117</f>
        <v>370.2</v>
      </c>
      <c r="E118" s="50">
        <f t="shared" ref="E118:AU118" si="112">E110+E112+E114+E115+E117</f>
        <v>337.90000000000003</v>
      </c>
      <c r="F118" s="50">
        <f t="shared" si="112"/>
        <v>400.2</v>
      </c>
      <c r="G118" s="50">
        <f t="shared" si="112"/>
        <v>382.30000000000007</v>
      </c>
      <c r="H118" s="26">
        <f t="shared" si="112"/>
        <v>1490.6</v>
      </c>
      <c r="I118" s="50">
        <f t="shared" si="112"/>
        <v>362.1</v>
      </c>
      <c r="J118" s="50">
        <f t="shared" si="112"/>
        <v>372.6</v>
      </c>
      <c r="K118" s="50">
        <f t="shared" si="112"/>
        <v>374.09999999999997</v>
      </c>
      <c r="L118" s="50">
        <f t="shared" si="112"/>
        <v>349.1</v>
      </c>
      <c r="M118" s="26">
        <f t="shared" si="112"/>
        <v>1457.9000000000003</v>
      </c>
      <c r="N118" s="50">
        <f t="shared" si="112"/>
        <v>246.99999999999997</v>
      </c>
      <c r="O118" s="50">
        <f t="shared" si="112"/>
        <v>247.60000000000002</v>
      </c>
      <c r="P118" s="50">
        <f t="shared" si="112"/>
        <v>261.5</v>
      </c>
      <c r="Q118" s="103">
        <f t="shared" si="112"/>
        <v>298.2</v>
      </c>
      <c r="R118" s="26">
        <f t="shared" si="112"/>
        <v>1054.3</v>
      </c>
      <c r="S118" s="50">
        <f t="shared" si="112"/>
        <v>273.5</v>
      </c>
      <c r="T118" s="50">
        <f t="shared" si="112"/>
        <v>313.7</v>
      </c>
      <c r="U118" s="50">
        <f t="shared" si="112"/>
        <v>341.70000000000005</v>
      </c>
      <c r="V118" s="50"/>
      <c r="W118" s="26"/>
      <c r="X118" s="50"/>
      <c r="Y118" s="50"/>
      <c r="Z118" s="50"/>
      <c r="AA118" s="50"/>
      <c r="AB118" s="26"/>
      <c r="AC118" s="50"/>
      <c r="AD118" s="50"/>
      <c r="AE118" s="50"/>
      <c r="AF118" s="50"/>
      <c r="AG118" s="26"/>
      <c r="AH118" s="50"/>
      <c r="AI118" s="50"/>
      <c r="AJ118" s="50"/>
      <c r="AK118" s="50"/>
      <c r="AL118" s="26"/>
      <c r="AM118" s="50"/>
      <c r="AN118" s="50"/>
      <c r="AO118" s="50"/>
      <c r="AP118" s="50"/>
      <c r="AQ118" s="26"/>
      <c r="AR118" s="50"/>
      <c r="AS118" s="50"/>
      <c r="AT118" s="50"/>
      <c r="AU118" s="50"/>
      <c r="AV118" s="26"/>
    </row>
    <row r="119" spans="2:48" ht="16.2" outlineLevel="1" x14ac:dyDescent="0.45">
      <c r="B119" s="47" t="s">
        <v>36</v>
      </c>
      <c r="C119" s="44"/>
      <c r="D119" s="52">
        <v>41.4</v>
      </c>
      <c r="E119" s="104">
        <v>40.200000000000003</v>
      </c>
      <c r="F119" s="104">
        <v>48.8</v>
      </c>
      <c r="G119" s="104">
        <v>65.099999999999994</v>
      </c>
      <c r="H119" s="194">
        <f>SUM(D119:G119)</f>
        <v>195.49999999999997</v>
      </c>
      <c r="I119" s="104">
        <v>43</v>
      </c>
      <c r="J119" s="104">
        <v>43.1</v>
      </c>
      <c r="K119" s="104">
        <v>51</v>
      </c>
      <c r="L119" s="104">
        <v>83</v>
      </c>
      <c r="M119" s="194">
        <f>SUM(I119:L119)</f>
        <v>220.1</v>
      </c>
      <c r="N119" s="104">
        <v>56.4</v>
      </c>
      <c r="O119" s="104">
        <v>50.3</v>
      </c>
      <c r="P119" s="104">
        <v>63.5</v>
      </c>
      <c r="Q119" s="104">
        <v>79.7</v>
      </c>
      <c r="R119" s="194">
        <f>SUM(N119:Q119)</f>
        <v>249.89999999999998</v>
      </c>
      <c r="S119" s="104">
        <v>39.6</v>
      </c>
      <c r="T119" s="104">
        <v>48.5</v>
      </c>
      <c r="U119" s="104">
        <v>53.7</v>
      </c>
      <c r="V119" s="56"/>
      <c r="W119" s="194"/>
      <c r="X119" s="56"/>
      <c r="Y119" s="56"/>
      <c r="Z119" s="56"/>
      <c r="AA119" s="56"/>
      <c r="AB119" s="194"/>
      <c r="AC119" s="56"/>
      <c r="AD119" s="56"/>
      <c r="AE119" s="56"/>
      <c r="AF119" s="56"/>
      <c r="AG119" s="194"/>
      <c r="AH119" s="56"/>
      <c r="AI119" s="56"/>
      <c r="AJ119" s="56"/>
      <c r="AK119" s="56"/>
      <c r="AL119" s="194"/>
      <c r="AM119" s="56"/>
      <c r="AN119" s="56"/>
      <c r="AO119" s="56"/>
      <c r="AP119" s="56"/>
      <c r="AQ119" s="194"/>
      <c r="AR119" s="56"/>
      <c r="AS119" s="56"/>
      <c r="AT119" s="56"/>
      <c r="AU119" s="56"/>
      <c r="AV119" s="194"/>
    </row>
    <row r="120" spans="2:48" outlineLevel="1" x14ac:dyDescent="0.3">
      <c r="B120" s="46" t="s">
        <v>53</v>
      </c>
      <c r="C120" s="44"/>
      <c r="D120" s="157">
        <f t="shared" ref="D120:AU120" si="113">D108-D118+D119</f>
        <v>175.80000000000004</v>
      </c>
      <c r="E120" s="157">
        <f t="shared" si="113"/>
        <v>148.89999999999998</v>
      </c>
      <c r="F120" s="157">
        <f t="shared" si="113"/>
        <v>181.89999999999998</v>
      </c>
      <c r="G120" s="157">
        <f t="shared" si="113"/>
        <v>190.89999999999995</v>
      </c>
      <c r="H120" s="97">
        <f t="shared" si="113"/>
        <v>697.5</v>
      </c>
      <c r="I120" s="157">
        <f t="shared" si="113"/>
        <v>175.5</v>
      </c>
      <c r="J120" s="157">
        <f t="shared" si="113"/>
        <v>189.6</v>
      </c>
      <c r="K120" s="157">
        <f t="shared" si="113"/>
        <v>124.20000000000005</v>
      </c>
      <c r="L120" s="74">
        <f t="shared" si="113"/>
        <v>197.89999999999998</v>
      </c>
      <c r="M120" s="97">
        <f t="shared" si="113"/>
        <v>687.1999999999997</v>
      </c>
      <c r="N120" s="74">
        <f t="shared" si="113"/>
        <v>180.8</v>
      </c>
      <c r="O120" s="74">
        <f t="shared" si="113"/>
        <v>172.59999999999997</v>
      </c>
      <c r="P120" s="74">
        <f t="shared" si="113"/>
        <v>216</v>
      </c>
      <c r="Q120" s="74">
        <f t="shared" si="113"/>
        <v>219.8</v>
      </c>
      <c r="R120" s="97">
        <f t="shared" si="113"/>
        <v>789.19999999999993</v>
      </c>
      <c r="S120" s="74">
        <f t="shared" si="113"/>
        <v>183.20000000000002</v>
      </c>
      <c r="T120" s="74">
        <f t="shared" si="113"/>
        <v>197.90000000000003</v>
      </c>
      <c r="U120" s="74">
        <f t="shared" si="113"/>
        <v>191.69999999999993</v>
      </c>
      <c r="V120" s="74"/>
      <c r="W120" s="97"/>
      <c r="X120" s="74"/>
      <c r="Y120" s="74"/>
      <c r="Z120" s="74"/>
      <c r="AA120" s="74"/>
      <c r="AB120" s="97"/>
      <c r="AC120" s="74"/>
      <c r="AD120" s="74"/>
      <c r="AE120" s="74"/>
      <c r="AF120" s="74"/>
      <c r="AG120" s="97"/>
      <c r="AH120" s="74"/>
      <c r="AI120" s="74"/>
      <c r="AJ120" s="74"/>
      <c r="AK120" s="74"/>
      <c r="AL120" s="97"/>
      <c r="AM120" s="74"/>
      <c r="AN120" s="74"/>
      <c r="AO120" s="74"/>
      <c r="AP120" s="74"/>
      <c r="AQ120" s="97"/>
      <c r="AR120" s="74"/>
      <c r="AS120" s="74"/>
      <c r="AT120" s="74"/>
      <c r="AU120" s="74"/>
      <c r="AV120" s="97"/>
    </row>
    <row r="121" spans="2:48" outlineLevel="1" x14ac:dyDescent="0.3">
      <c r="B121" s="46" t="s">
        <v>54</v>
      </c>
      <c r="C121" s="44"/>
      <c r="D121" s="158">
        <f>+D120/D108</f>
        <v>0.34839476813317488</v>
      </c>
      <c r="E121" s="158">
        <f>+E120/E108</f>
        <v>0.33340797133900574</v>
      </c>
      <c r="F121" s="158">
        <f>+F120/F108</f>
        <v>0.34108381773860863</v>
      </c>
      <c r="G121" s="158">
        <f>+G120/G108</f>
        <v>0.37571344223578024</v>
      </c>
      <c r="H121" s="126">
        <f>H120/H108</f>
        <v>0.35004516711833789</v>
      </c>
      <c r="I121" s="158">
        <f t="shared" ref="I121:AU121" si="114">+I120/I108</f>
        <v>0.3548321876263647</v>
      </c>
      <c r="J121" s="158">
        <f t="shared" si="114"/>
        <v>0.36524754382585239</v>
      </c>
      <c r="K121" s="158">
        <f t="shared" si="114"/>
        <v>0.27766599597585523</v>
      </c>
      <c r="L121" s="75">
        <f t="shared" si="114"/>
        <v>0.42650862068965512</v>
      </c>
      <c r="M121" s="98">
        <f t="shared" si="114"/>
        <v>0.35698701298701285</v>
      </c>
      <c r="N121" s="75">
        <f t="shared" si="114"/>
        <v>0.48680667743672595</v>
      </c>
      <c r="O121" s="75">
        <f t="shared" si="114"/>
        <v>0.46661259799945926</v>
      </c>
      <c r="P121" s="75">
        <f t="shared" si="114"/>
        <v>0.52173913043478259</v>
      </c>
      <c r="Q121" s="75">
        <f t="shared" si="114"/>
        <v>0.50148300250969657</v>
      </c>
      <c r="R121" s="98">
        <f t="shared" si="114"/>
        <v>0.49523092369477911</v>
      </c>
      <c r="S121" s="75">
        <f t="shared" si="114"/>
        <v>0.43922320786382163</v>
      </c>
      <c r="T121" s="75">
        <f t="shared" si="114"/>
        <v>0.42733750809760318</v>
      </c>
      <c r="U121" s="75">
        <f t="shared" si="114"/>
        <v>0.3996247654784239</v>
      </c>
      <c r="V121" s="75"/>
      <c r="W121" s="98"/>
      <c r="X121" s="75"/>
      <c r="Y121" s="75"/>
      <c r="Z121" s="75"/>
      <c r="AA121" s="75"/>
      <c r="AB121" s="98"/>
      <c r="AC121" s="75"/>
      <c r="AD121" s="75"/>
      <c r="AE121" s="75"/>
      <c r="AF121" s="75"/>
      <c r="AG121" s="98"/>
      <c r="AH121" s="75"/>
      <c r="AI121" s="75"/>
      <c r="AJ121" s="75"/>
      <c r="AK121" s="75"/>
      <c r="AL121" s="98"/>
      <c r="AM121" s="75"/>
      <c r="AN121" s="75"/>
      <c r="AO121" s="75"/>
      <c r="AP121" s="75"/>
      <c r="AQ121" s="98"/>
      <c r="AR121" s="75"/>
      <c r="AS121" s="75"/>
      <c r="AT121" s="75"/>
      <c r="AU121" s="75"/>
      <c r="AV121" s="98"/>
    </row>
    <row r="122" spans="2:48" ht="17.399999999999999" x14ac:dyDescent="0.45">
      <c r="B122" s="388" t="s">
        <v>55</v>
      </c>
      <c r="C122" s="389"/>
      <c r="D122" s="14" t="s">
        <v>19</v>
      </c>
      <c r="E122" s="14" t="s">
        <v>81</v>
      </c>
      <c r="F122" s="14" t="s">
        <v>85</v>
      </c>
      <c r="G122" s="14" t="s">
        <v>95</v>
      </c>
      <c r="H122" s="40" t="s">
        <v>96</v>
      </c>
      <c r="I122" s="14" t="s">
        <v>97</v>
      </c>
      <c r="J122" s="14" t="s">
        <v>98</v>
      </c>
      <c r="K122" s="14" t="s">
        <v>99</v>
      </c>
      <c r="L122" s="14" t="s">
        <v>143</v>
      </c>
      <c r="M122" s="40" t="s">
        <v>144</v>
      </c>
      <c r="N122" s="14" t="s">
        <v>150</v>
      </c>
      <c r="O122" s="14" t="s">
        <v>158</v>
      </c>
      <c r="P122" s="14" t="s">
        <v>160</v>
      </c>
      <c r="Q122" s="14" t="s">
        <v>173</v>
      </c>
      <c r="R122" s="40" t="s">
        <v>174</v>
      </c>
      <c r="S122" s="14" t="s">
        <v>189</v>
      </c>
      <c r="T122" s="14" t="s">
        <v>190</v>
      </c>
      <c r="U122" s="14" t="s">
        <v>205</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165</v>
      </c>
      <c r="AN122" s="12" t="s">
        <v>166</v>
      </c>
      <c r="AO122" s="12" t="s">
        <v>167</v>
      </c>
      <c r="AP122" s="12" t="s">
        <v>168</v>
      </c>
      <c r="AQ122" s="42" t="s">
        <v>169</v>
      </c>
      <c r="AR122" s="12" t="s">
        <v>196</v>
      </c>
      <c r="AS122" s="12" t="s">
        <v>197</v>
      </c>
      <c r="AT122" s="12" t="s">
        <v>198</v>
      </c>
      <c r="AU122" s="12" t="s">
        <v>199</v>
      </c>
      <c r="AV122" s="42" t="s">
        <v>200</v>
      </c>
    </row>
    <row r="123" spans="2:48" s="8" customFormat="1" outlineLevel="1" x14ac:dyDescent="0.3">
      <c r="B123" s="392" t="s">
        <v>127</v>
      </c>
      <c r="C123" s="393"/>
      <c r="D123" s="48">
        <v>11.6</v>
      </c>
      <c r="E123" s="48">
        <v>15.8</v>
      </c>
      <c r="F123" s="48">
        <v>23.3</v>
      </c>
      <c r="G123" s="48">
        <v>15.4</v>
      </c>
      <c r="H123" s="31">
        <f>SUM(D123:G123)</f>
        <v>66.100000000000009</v>
      </c>
      <c r="I123" s="48">
        <v>20.5</v>
      </c>
      <c r="J123" s="48">
        <v>12</v>
      </c>
      <c r="K123" s="48">
        <v>19.7</v>
      </c>
      <c r="L123" s="48">
        <v>13.9</v>
      </c>
      <c r="M123" s="31">
        <f>SUM(I123:L123)</f>
        <v>66.100000000000009</v>
      </c>
      <c r="N123" s="48">
        <v>20.5</v>
      </c>
      <c r="O123" s="48">
        <v>22.6</v>
      </c>
      <c r="P123" s="48">
        <v>23.8</v>
      </c>
      <c r="Q123" s="105">
        <v>30.8</v>
      </c>
      <c r="R123" s="31">
        <f>SUM(N123:Q123)</f>
        <v>97.7</v>
      </c>
      <c r="S123" s="48">
        <v>25.1</v>
      </c>
      <c r="T123" s="48">
        <v>24.4</v>
      </c>
      <c r="U123" s="48">
        <v>27.3</v>
      </c>
      <c r="V123" s="48"/>
      <c r="W123" s="31"/>
      <c r="X123" s="48"/>
      <c r="Y123" s="48"/>
      <c r="Z123" s="48"/>
      <c r="AA123" s="48"/>
      <c r="AB123" s="31"/>
      <c r="AC123" s="48"/>
      <c r="AD123" s="48"/>
      <c r="AE123" s="48"/>
      <c r="AF123" s="48"/>
      <c r="AG123" s="31"/>
      <c r="AH123" s="48"/>
      <c r="AI123" s="48"/>
      <c r="AJ123" s="48"/>
      <c r="AK123" s="48"/>
      <c r="AL123" s="31"/>
      <c r="AM123" s="48"/>
      <c r="AN123" s="48"/>
      <c r="AO123" s="48"/>
      <c r="AP123" s="48"/>
      <c r="AQ123" s="31"/>
      <c r="AR123" s="48"/>
      <c r="AS123" s="48"/>
      <c r="AT123" s="48"/>
      <c r="AU123" s="48"/>
      <c r="AV123" s="31"/>
    </row>
    <row r="124" spans="2:48" s="8" customFormat="1" outlineLevel="1" x14ac:dyDescent="0.3">
      <c r="B124" s="38" t="s">
        <v>128</v>
      </c>
      <c r="C124" s="211"/>
      <c r="D124" s="30"/>
      <c r="E124" s="30"/>
      <c r="F124" s="30"/>
      <c r="G124" s="118"/>
      <c r="H124" s="131"/>
      <c r="I124" s="118">
        <f t="shared" ref="I124:J124" si="115">I123/D123-1</f>
        <v>0.76724137931034497</v>
      </c>
      <c r="J124" s="118">
        <f t="shared" si="115"/>
        <v>-0.24050632911392411</v>
      </c>
      <c r="K124" s="118">
        <f>K123/F123-1</f>
        <v>-0.15450643776824036</v>
      </c>
      <c r="L124" s="118">
        <f>L123/G123-1</f>
        <v>-9.740259740259738E-2</v>
      </c>
      <c r="M124" s="129">
        <f>M123/H123-1</f>
        <v>0</v>
      </c>
      <c r="N124" s="118">
        <f t="shared" ref="N124" si="116">N123/I123-1</f>
        <v>0</v>
      </c>
      <c r="O124" s="118">
        <f t="shared" ref="O124" si="117">O123/J123-1</f>
        <v>0.88333333333333353</v>
      </c>
      <c r="P124" s="118">
        <f t="shared" ref="P124" si="118">P123/K123-1</f>
        <v>0.20812182741116758</v>
      </c>
      <c r="Q124" s="118">
        <f t="shared" ref="Q124" si="119">Q123/L123-1</f>
        <v>1.2158273381294964</v>
      </c>
      <c r="R124" s="129">
        <f>R123/M123-1</f>
        <v>0.47806354009077134</v>
      </c>
      <c r="S124" s="118">
        <f t="shared" ref="S124" si="120">S123/N123-1</f>
        <v>0.224390243902439</v>
      </c>
      <c r="T124" s="118">
        <f t="shared" ref="T124:U124" si="121">T123/O123-1</f>
        <v>7.9646017699114946E-2</v>
      </c>
      <c r="U124" s="118">
        <f t="shared" si="121"/>
        <v>0.14705882352941169</v>
      </c>
      <c r="V124" s="34"/>
      <c r="W124" s="129"/>
      <c r="X124" s="34"/>
      <c r="Y124" s="34"/>
      <c r="Z124" s="34"/>
      <c r="AA124" s="34"/>
      <c r="AB124" s="129"/>
      <c r="AC124" s="34"/>
      <c r="AD124" s="34"/>
      <c r="AE124" s="34"/>
      <c r="AF124" s="34"/>
      <c r="AG124" s="129"/>
      <c r="AH124" s="34"/>
      <c r="AI124" s="34"/>
      <c r="AJ124" s="34"/>
      <c r="AK124" s="34"/>
      <c r="AL124" s="129"/>
      <c r="AM124" s="34"/>
      <c r="AN124" s="34"/>
      <c r="AO124" s="34"/>
      <c r="AP124" s="34"/>
      <c r="AQ124" s="129"/>
      <c r="AR124" s="34"/>
      <c r="AS124" s="34"/>
      <c r="AT124" s="34"/>
      <c r="AU124" s="34"/>
      <c r="AV124" s="129"/>
    </row>
    <row r="125" spans="2:48" outlineLevel="1" x14ac:dyDescent="0.3">
      <c r="B125" s="414" t="s">
        <v>100</v>
      </c>
      <c r="C125" s="415"/>
      <c r="D125" s="48">
        <v>13.4</v>
      </c>
      <c r="E125" s="48">
        <v>15.9</v>
      </c>
      <c r="F125" s="48">
        <v>22.4</v>
      </c>
      <c r="G125" s="105">
        <v>15.5</v>
      </c>
      <c r="H125" s="171"/>
      <c r="I125" s="105">
        <v>20.7</v>
      </c>
      <c r="J125" s="105">
        <v>10.199999999999999</v>
      </c>
      <c r="K125" s="105">
        <v>20.8</v>
      </c>
      <c r="L125" s="105">
        <v>11.6</v>
      </c>
      <c r="M125" s="31">
        <f>SUM(I125:L125)</f>
        <v>63.300000000000004</v>
      </c>
      <c r="N125" s="105">
        <v>19</v>
      </c>
      <c r="O125" s="105">
        <v>19.399999999999999</v>
      </c>
      <c r="P125" s="105">
        <v>19.8</v>
      </c>
      <c r="Q125" s="105">
        <v>28.2</v>
      </c>
      <c r="R125" s="31">
        <f>SUM(N125:Q125)</f>
        <v>86.4</v>
      </c>
      <c r="S125" s="105">
        <v>22.9</v>
      </c>
      <c r="T125" s="105">
        <v>20.8</v>
      </c>
      <c r="U125" s="105">
        <v>24.3</v>
      </c>
      <c r="V125" s="95"/>
      <c r="W125" s="31"/>
      <c r="X125" s="95"/>
      <c r="Y125" s="95"/>
      <c r="Z125" s="95"/>
      <c r="AA125" s="95"/>
      <c r="AB125" s="31"/>
      <c r="AC125" s="95"/>
      <c r="AD125" s="95"/>
      <c r="AE125" s="95"/>
      <c r="AF125" s="95"/>
      <c r="AG125" s="31"/>
      <c r="AH125" s="95"/>
      <c r="AI125" s="95"/>
      <c r="AJ125" s="95"/>
      <c r="AK125" s="95"/>
      <c r="AL125" s="31"/>
      <c r="AM125" s="95"/>
      <c r="AN125" s="95"/>
      <c r="AO125" s="95"/>
      <c r="AP125" s="95"/>
      <c r="AQ125" s="31"/>
      <c r="AR125" s="95"/>
      <c r="AS125" s="95"/>
      <c r="AT125" s="95"/>
      <c r="AU125" s="95"/>
      <c r="AV125" s="31"/>
    </row>
    <row r="126" spans="2:48" outlineLevel="1" x14ac:dyDescent="0.3">
      <c r="B126" s="181" t="s">
        <v>33</v>
      </c>
      <c r="C126" s="18"/>
      <c r="D126" s="48">
        <v>3.2</v>
      </c>
      <c r="E126" s="48">
        <v>4.3</v>
      </c>
      <c r="F126" s="48">
        <v>5.8</v>
      </c>
      <c r="G126" s="105">
        <f>5.2+0.1</f>
        <v>5.3</v>
      </c>
      <c r="H126" s="171"/>
      <c r="I126" s="105">
        <v>2.8</v>
      </c>
      <c r="J126" s="105">
        <v>3.7</v>
      </c>
      <c r="K126" s="105">
        <v>4</v>
      </c>
      <c r="L126" s="105">
        <v>3.4</v>
      </c>
      <c r="M126" s="31">
        <f t="shared" ref="M126:M129" si="122">SUM(I126:L126)</f>
        <v>13.9</v>
      </c>
      <c r="N126" s="105">
        <v>3.6</v>
      </c>
      <c r="O126" s="105">
        <v>3.4</v>
      </c>
      <c r="P126" s="105">
        <v>3.3</v>
      </c>
      <c r="Q126" s="105">
        <v>4.5</v>
      </c>
      <c r="R126" s="31">
        <f t="shared" ref="R126:R129" si="123">SUM(N126:Q126)</f>
        <v>14.8</v>
      </c>
      <c r="S126" s="105">
        <v>2.9</v>
      </c>
      <c r="T126" s="105">
        <v>4.4000000000000004</v>
      </c>
      <c r="U126" s="105">
        <v>5.9</v>
      </c>
      <c r="V126" s="95"/>
      <c r="W126" s="31"/>
      <c r="X126" s="95"/>
      <c r="Y126" s="95"/>
      <c r="Z126" s="95"/>
      <c r="AA126" s="95"/>
      <c r="AB126" s="31"/>
      <c r="AC126" s="95"/>
      <c r="AD126" s="95"/>
      <c r="AE126" s="95"/>
      <c r="AF126" s="95"/>
      <c r="AG126" s="31"/>
      <c r="AH126" s="95"/>
      <c r="AI126" s="95"/>
      <c r="AJ126" s="95"/>
      <c r="AK126" s="95"/>
      <c r="AL126" s="31"/>
      <c r="AM126" s="95"/>
      <c r="AN126" s="95"/>
      <c r="AO126" s="95"/>
      <c r="AP126" s="95"/>
      <c r="AQ126" s="31"/>
      <c r="AR126" s="95"/>
      <c r="AS126" s="95"/>
      <c r="AT126" s="95"/>
      <c r="AU126" s="95"/>
      <c r="AV126" s="31"/>
    </row>
    <row r="127" spans="2:48" outlineLevel="1" x14ac:dyDescent="0.3">
      <c r="B127" s="181" t="s">
        <v>34</v>
      </c>
      <c r="C127" s="18"/>
      <c r="D127" s="384">
        <v>39.5</v>
      </c>
      <c r="E127" s="384">
        <v>40.5</v>
      </c>
      <c r="F127" s="384">
        <v>39.6</v>
      </c>
      <c r="G127" s="384">
        <v>37.299999999999997</v>
      </c>
      <c r="H127" s="131"/>
      <c r="I127" s="384">
        <v>34.9</v>
      </c>
      <c r="J127" s="384">
        <v>34.5</v>
      </c>
      <c r="K127" s="384">
        <v>40.9</v>
      </c>
      <c r="L127" s="384">
        <v>39.5</v>
      </c>
      <c r="M127" s="127">
        <f t="shared" si="122"/>
        <v>149.80000000000001</v>
      </c>
      <c r="N127" s="384">
        <v>37</v>
      </c>
      <c r="O127" s="384">
        <v>37</v>
      </c>
      <c r="P127" s="384">
        <v>35.5</v>
      </c>
      <c r="Q127" s="384">
        <v>32.9</v>
      </c>
      <c r="R127" s="127">
        <f t="shared" si="123"/>
        <v>142.4</v>
      </c>
      <c r="S127" s="384">
        <v>32.9</v>
      </c>
      <c r="T127" s="384">
        <v>32.299999999999997</v>
      </c>
      <c r="U127" s="384">
        <v>30.6</v>
      </c>
      <c r="V127" s="384"/>
      <c r="W127" s="127"/>
      <c r="X127" s="384"/>
      <c r="Y127" s="384"/>
      <c r="Z127" s="384"/>
      <c r="AA127" s="384"/>
      <c r="AB127" s="127"/>
      <c r="AC127" s="384"/>
      <c r="AD127" s="384"/>
      <c r="AE127" s="384"/>
      <c r="AF127" s="384"/>
      <c r="AG127" s="127"/>
      <c r="AH127" s="384"/>
      <c r="AI127" s="384"/>
      <c r="AJ127" s="384"/>
      <c r="AK127" s="384"/>
      <c r="AL127" s="127"/>
      <c r="AM127" s="384"/>
      <c r="AN127" s="384"/>
      <c r="AO127" s="384"/>
      <c r="AP127" s="384"/>
      <c r="AQ127" s="127"/>
      <c r="AR127" s="384"/>
      <c r="AS127" s="384"/>
      <c r="AT127" s="384"/>
      <c r="AU127" s="384"/>
      <c r="AV127" s="127"/>
    </row>
    <row r="128" spans="2:48" outlineLevel="1" x14ac:dyDescent="0.3">
      <c r="B128" s="181" t="s">
        <v>35</v>
      </c>
      <c r="C128" s="18"/>
      <c r="D128" s="48">
        <v>300.39999999999998</v>
      </c>
      <c r="E128" s="48">
        <v>303.89999999999998</v>
      </c>
      <c r="F128" s="48">
        <v>299</v>
      </c>
      <c r="G128" s="105">
        <v>267.39999999999998</v>
      </c>
      <c r="H128" s="171"/>
      <c r="I128" s="105">
        <v>292.2</v>
      </c>
      <c r="J128" s="105">
        <v>271.60000000000002</v>
      </c>
      <c r="K128" s="105">
        <v>269.10000000000002</v>
      </c>
      <c r="L128" s="105">
        <v>288.8</v>
      </c>
      <c r="M128" s="31">
        <f t="shared" si="122"/>
        <v>1121.7</v>
      </c>
      <c r="N128" s="105">
        <v>316.5</v>
      </c>
      <c r="O128" s="105">
        <v>304.60000000000002</v>
      </c>
      <c r="P128" s="105">
        <v>326.5</v>
      </c>
      <c r="Q128" s="105">
        <v>321</v>
      </c>
      <c r="R128" s="31">
        <f t="shared" si="123"/>
        <v>1268.5999999999999</v>
      </c>
      <c r="S128" s="105">
        <v>354.5</v>
      </c>
      <c r="T128" s="105">
        <v>328.1</v>
      </c>
      <c r="U128" s="105">
        <v>326.10000000000002</v>
      </c>
      <c r="V128" s="95"/>
      <c r="W128" s="31"/>
      <c r="X128" s="95"/>
      <c r="Y128" s="95"/>
      <c r="Z128" s="95"/>
      <c r="AA128" s="95"/>
      <c r="AB128" s="31"/>
      <c r="AC128" s="95"/>
      <c r="AD128" s="95"/>
      <c r="AE128" s="95"/>
      <c r="AF128" s="95"/>
      <c r="AG128" s="31"/>
      <c r="AH128" s="95"/>
      <c r="AI128" s="95"/>
      <c r="AJ128" s="95"/>
      <c r="AK128" s="95"/>
      <c r="AL128" s="31"/>
      <c r="AM128" s="95"/>
      <c r="AN128" s="95"/>
      <c r="AO128" s="95"/>
      <c r="AP128" s="95"/>
      <c r="AQ128" s="31"/>
      <c r="AR128" s="95"/>
      <c r="AS128" s="95"/>
      <c r="AT128" s="95"/>
      <c r="AU128" s="95"/>
      <c r="AV128" s="31"/>
    </row>
    <row r="129" spans="2:48" ht="16.2" outlineLevel="1" x14ac:dyDescent="0.45">
      <c r="B129" s="181" t="s">
        <v>42</v>
      </c>
      <c r="C129" s="18"/>
      <c r="D129" s="119">
        <v>13.9</v>
      </c>
      <c r="E129" s="119">
        <v>0.6</v>
      </c>
      <c r="F129" s="119">
        <v>6</v>
      </c>
      <c r="G129" s="119">
        <v>-0.9</v>
      </c>
      <c r="H129" s="132"/>
      <c r="I129" s="119">
        <v>0.3</v>
      </c>
      <c r="J129" s="119">
        <v>0</v>
      </c>
      <c r="K129" s="119">
        <v>22.1</v>
      </c>
      <c r="L129" s="119">
        <v>0</v>
      </c>
      <c r="M129" s="194">
        <f t="shared" si="122"/>
        <v>22.400000000000002</v>
      </c>
      <c r="N129" s="119">
        <v>0</v>
      </c>
      <c r="O129" s="119">
        <v>0</v>
      </c>
      <c r="P129" s="119">
        <v>0</v>
      </c>
      <c r="Q129" s="119">
        <v>15</v>
      </c>
      <c r="R129" s="194">
        <f t="shared" si="123"/>
        <v>15</v>
      </c>
      <c r="S129" s="119">
        <v>0</v>
      </c>
      <c r="T129" s="119">
        <v>0</v>
      </c>
      <c r="U129" s="119">
        <v>2</v>
      </c>
      <c r="V129" s="123"/>
      <c r="W129" s="194"/>
      <c r="X129" s="123"/>
      <c r="Y129" s="123"/>
      <c r="Z129" s="123"/>
      <c r="AA129" s="123"/>
      <c r="AB129" s="194"/>
      <c r="AC129" s="123"/>
      <c r="AD129" s="123"/>
      <c r="AE129" s="123"/>
      <c r="AF129" s="123"/>
      <c r="AG129" s="194"/>
      <c r="AH129" s="123"/>
      <c r="AI129" s="123"/>
      <c r="AJ129" s="123"/>
      <c r="AK129" s="123"/>
      <c r="AL129" s="194"/>
      <c r="AM129" s="123"/>
      <c r="AN129" s="123"/>
      <c r="AO129" s="123"/>
      <c r="AP129" s="123"/>
      <c r="AQ129" s="194"/>
      <c r="AR129" s="123"/>
      <c r="AS129" s="123"/>
      <c r="AT129" s="123"/>
      <c r="AU129" s="123"/>
      <c r="AV129" s="194"/>
    </row>
    <row r="130" spans="2:48" outlineLevel="1" x14ac:dyDescent="0.3">
      <c r="B130" s="46" t="s">
        <v>56</v>
      </c>
      <c r="C130" s="19"/>
      <c r="D130" s="103">
        <f>SUM(D125:D129)</f>
        <v>370.4</v>
      </c>
      <c r="E130" s="103">
        <f>SUM(E125:E129)</f>
        <v>365.2</v>
      </c>
      <c r="F130" s="103">
        <f>SUM(F125:F129)</f>
        <v>372.8</v>
      </c>
      <c r="G130" s="103">
        <f>SUM(G125:G129)</f>
        <v>324.60000000000002</v>
      </c>
      <c r="H130" s="131"/>
      <c r="I130" s="103">
        <f t="shared" ref="I130:AQ130" si="124">SUM(I125:I129)</f>
        <v>350.9</v>
      </c>
      <c r="J130" s="103">
        <f t="shared" si="124"/>
        <v>320</v>
      </c>
      <c r="K130" s="103">
        <f t="shared" si="124"/>
        <v>356.90000000000003</v>
      </c>
      <c r="L130" s="50">
        <f t="shared" si="124"/>
        <v>343.3</v>
      </c>
      <c r="M130" s="51">
        <f t="shared" si="124"/>
        <v>1371.1000000000001</v>
      </c>
      <c r="N130" s="50">
        <f t="shared" si="124"/>
        <v>376.1</v>
      </c>
      <c r="O130" s="50">
        <f t="shared" si="124"/>
        <v>364.40000000000003</v>
      </c>
      <c r="P130" s="50">
        <f t="shared" si="124"/>
        <v>385.1</v>
      </c>
      <c r="Q130" s="50">
        <f t="shared" si="124"/>
        <v>401.6</v>
      </c>
      <c r="R130" s="51">
        <f t="shared" si="124"/>
        <v>1527.1999999999998</v>
      </c>
      <c r="S130" s="50">
        <f t="shared" si="124"/>
        <v>413.2</v>
      </c>
      <c r="T130" s="50">
        <f t="shared" si="124"/>
        <v>385.6</v>
      </c>
      <c r="U130" s="50">
        <f t="shared" si="124"/>
        <v>388.90000000000003</v>
      </c>
      <c r="V130" s="50"/>
      <c r="W130" s="51"/>
      <c r="X130" s="50"/>
      <c r="Y130" s="50"/>
      <c r="Z130" s="50"/>
      <c r="AA130" s="50"/>
      <c r="AB130" s="51"/>
      <c r="AC130" s="50"/>
      <c r="AD130" s="50"/>
      <c r="AE130" s="50"/>
      <c r="AF130" s="50"/>
      <c r="AG130" s="51"/>
      <c r="AH130" s="50"/>
      <c r="AI130" s="50"/>
      <c r="AJ130" s="50"/>
      <c r="AK130" s="50"/>
      <c r="AL130" s="51"/>
      <c r="AM130" s="50"/>
      <c r="AN130" s="50"/>
      <c r="AO130" s="50"/>
      <c r="AP130" s="50"/>
      <c r="AQ130" s="51"/>
      <c r="AR130" s="50"/>
      <c r="AS130" s="50"/>
      <c r="AT130" s="50"/>
      <c r="AU130" s="50"/>
      <c r="AV130" s="51"/>
    </row>
    <row r="131" spans="2:48" outlineLevel="1" x14ac:dyDescent="0.3">
      <c r="B131" s="46" t="s">
        <v>57</v>
      </c>
      <c r="C131" s="44"/>
      <c r="D131" s="157">
        <f>D123-D130</f>
        <v>-358.79999999999995</v>
      </c>
      <c r="E131" s="157">
        <f>E123-E130</f>
        <v>-349.4</v>
      </c>
      <c r="F131" s="157">
        <f>F123-F130</f>
        <v>-349.5</v>
      </c>
      <c r="G131" s="157">
        <f>G123-G130</f>
        <v>-309.20000000000005</v>
      </c>
      <c r="H131" s="159"/>
      <c r="I131" s="157">
        <f t="shared" ref="I131:AQ131" si="125">I123-I130</f>
        <v>-330.4</v>
      </c>
      <c r="J131" s="157">
        <f t="shared" si="125"/>
        <v>-308</v>
      </c>
      <c r="K131" s="157">
        <f t="shared" si="125"/>
        <v>-337.20000000000005</v>
      </c>
      <c r="L131" s="74">
        <f t="shared" si="125"/>
        <v>-329.40000000000003</v>
      </c>
      <c r="M131" s="195">
        <f t="shared" si="125"/>
        <v>-1305.0000000000002</v>
      </c>
      <c r="N131" s="74">
        <f t="shared" si="125"/>
        <v>-355.6</v>
      </c>
      <c r="O131" s="74">
        <f t="shared" si="125"/>
        <v>-341.8</v>
      </c>
      <c r="P131" s="74">
        <f t="shared" si="125"/>
        <v>-361.3</v>
      </c>
      <c r="Q131" s="74">
        <f t="shared" si="125"/>
        <v>-370.8</v>
      </c>
      <c r="R131" s="195">
        <f t="shared" si="125"/>
        <v>-1429.4999999999998</v>
      </c>
      <c r="S131" s="74">
        <f t="shared" si="125"/>
        <v>-388.09999999999997</v>
      </c>
      <c r="T131" s="74">
        <f t="shared" si="125"/>
        <v>-361.20000000000005</v>
      </c>
      <c r="U131" s="74">
        <f t="shared" si="125"/>
        <v>-361.6</v>
      </c>
      <c r="V131" s="74"/>
      <c r="W131" s="195"/>
      <c r="X131" s="74"/>
      <c r="Y131" s="74"/>
      <c r="Z131" s="74"/>
      <c r="AA131" s="74"/>
      <c r="AB131" s="195"/>
      <c r="AC131" s="74"/>
      <c r="AD131" s="74"/>
      <c r="AE131" s="74"/>
      <c r="AF131" s="74"/>
      <c r="AG131" s="195"/>
      <c r="AH131" s="74"/>
      <c r="AI131" s="74"/>
      <c r="AJ131" s="74"/>
      <c r="AK131" s="74"/>
      <c r="AL131" s="195"/>
      <c r="AM131" s="74"/>
      <c r="AN131" s="74"/>
      <c r="AO131" s="74"/>
      <c r="AP131" s="74"/>
      <c r="AQ131" s="195"/>
      <c r="AR131" s="74"/>
      <c r="AS131" s="74"/>
      <c r="AT131" s="74"/>
      <c r="AU131" s="74"/>
      <c r="AV131" s="195"/>
    </row>
    <row r="132" spans="2:48" ht="17.399999999999999" x14ac:dyDescent="0.45">
      <c r="B132" s="388" t="s">
        <v>14</v>
      </c>
      <c r="C132" s="389"/>
      <c r="D132" s="14" t="s">
        <v>19</v>
      </c>
      <c r="E132" s="14" t="s">
        <v>81</v>
      </c>
      <c r="F132" s="14" t="s">
        <v>85</v>
      </c>
      <c r="G132" s="14" t="s">
        <v>95</v>
      </c>
      <c r="H132" s="40" t="s">
        <v>96</v>
      </c>
      <c r="I132" s="14" t="s">
        <v>97</v>
      </c>
      <c r="J132" s="14" t="s">
        <v>98</v>
      </c>
      <c r="K132" s="14" t="s">
        <v>99</v>
      </c>
      <c r="L132" s="14" t="s">
        <v>143</v>
      </c>
      <c r="M132" s="40" t="s">
        <v>144</v>
      </c>
      <c r="N132" s="14" t="s">
        <v>150</v>
      </c>
      <c r="O132" s="14" t="s">
        <v>158</v>
      </c>
      <c r="P132" s="14" t="s">
        <v>160</v>
      </c>
      <c r="Q132" s="14" t="s">
        <v>173</v>
      </c>
      <c r="R132" s="40" t="s">
        <v>174</v>
      </c>
      <c r="S132" s="14" t="s">
        <v>189</v>
      </c>
      <c r="T132" s="14" t="s">
        <v>190</v>
      </c>
      <c r="U132" s="14" t="s">
        <v>205</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165</v>
      </c>
      <c r="AN132" s="12" t="s">
        <v>166</v>
      </c>
      <c r="AO132" s="12" t="s">
        <v>167</v>
      </c>
      <c r="AP132" s="12" t="s">
        <v>168</v>
      </c>
      <c r="AQ132" s="42" t="s">
        <v>169</v>
      </c>
      <c r="AR132" s="12" t="s">
        <v>196</v>
      </c>
      <c r="AS132" s="12" t="s">
        <v>197</v>
      </c>
      <c r="AT132" s="12" t="s">
        <v>198</v>
      </c>
      <c r="AU132" s="12" t="s">
        <v>199</v>
      </c>
      <c r="AV132" s="42" t="s">
        <v>200</v>
      </c>
    </row>
    <row r="133" spans="2:48" s="77" customFormat="1" ht="15.6" customHeight="1" outlineLevel="1" x14ac:dyDescent="0.3">
      <c r="B133" s="64" t="s">
        <v>59</v>
      </c>
      <c r="C133" s="78"/>
      <c r="D133" s="65">
        <f>+D45+D78-D5</f>
        <v>0</v>
      </c>
      <c r="E133" s="65">
        <f>+E45+E78-E5</f>
        <v>0</v>
      </c>
      <c r="F133" s="121">
        <f>+F45+F78-F5</f>
        <v>0</v>
      </c>
      <c r="G133" s="65">
        <f>+G45+G78-G5</f>
        <v>0</v>
      </c>
      <c r="H133" s="66"/>
      <c r="I133" s="65">
        <f>+I45+I78-I5</f>
        <v>0</v>
      </c>
      <c r="J133" s="65">
        <f>+J45+J78-J5</f>
        <v>0</v>
      </c>
      <c r="K133" s="121">
        <f>+K45+K78-K5</f>
        <v>0</v>
      </c>
      <c r="L133" s="65">
        <f>+L45+L78-L5</f>
        <v>0</v>
      </c>
      <c r="M133" s="66"/>
      <c r="N133" s="65">
        <f>+N45+N78-N5</f>
        <v>0</v>
      </c>
      <c r="O133" s="65">
        <f>+O45+O78-O5</f>
        <v>0</v>
      </c>
      <c r="P133" s="121">
        <f>+P45+P78-P5</f>
        <v>0</v>
      </c>
      <c r="Q133" s="65">
        <f>+Q45+Q78-Q5</f>
        <v>0</v>
      </c>
      <c r="R133" s="66"/>
      <c r="S133" s="65">
        <f>+S45+S78-S5</f>
        <v>0</v>
      </c>
      <c r="T133" s="65">
        <f>+T45+T78-T5</f>
        <v>0</v>
      </c>
      <c r="U133" s="121">
        <f>+U45+U78-U5</f>
        <v>0</v>
      </c>
      <c r="V133" s="65"/>
      <c r="W133" s="66"/>
      <c r="X133" s="65"/>
      <c r="Y133" s="65"/>
      <c r="Z133" s="121"/>
      <c r="AA133" s="65"/>
      <c r="AB133" s="66"/>
      <c r="AC133" s="65"/>
      <c r="AD133" s="65"/>
      <c r="AE133" s="121"/>
      <c r="AF133" s="65"/>
      <c r="AG133" s="66"/>
      <c r="AH133" s="65"/>
      <c r="AI133" s="65"/>
      <c r="AJ133" s="121"/>
      <c r="AK133" s="65"/>
      <c r="AL133" s="66"/>
      <c r="AM133" s="65"/>
      <c r="AN133" s="65"/>
      <c r="AO133" s="121"/>
      <c r="AP133" s="65"/>
      <c r="AQ133" s="66"/>
      <c r="AR133" s="65"/>
      <c r="AS133" s="65"/>
      <c r="AT133" s="121"/>
      <c r="AU133" s="65"/>
      <c r="AV133" s="66"/>
    </row>
    <row r="134" spans="2:48" s="77" customFormat="1" ht="15.6" customHeight="1" outlineLevel="1" x14ac:dyDescent="0.3">
      <c r="B134" s="64" t="s">
        <v>60</v>
      </c>
      <c r="C134" s="78"/>
      <c r="D134" s="65">
        <f>+D54+D87-D6</f>
        <v>0</v>
      </c>
      <c r="E134" s="65">
        <f>+E54+E87-E6</f>
        <v>0</v>
      </c>
      <c r="F134" s="121">
        <f>+F54+F87-F6</f>
        <v>0</v>
      </c>
      <c r="G134" s="65">
        <f>+G54+G87-G6</f>
        <v>0</v>
      </c>
      <c r="H134" s="66"/>
      <c r="I134" s="65">
        <f>+I54+I87-I6</f>
        <v>0</v>
      </c>
      <c r="J134" s="65">
        <f>+J54+J87-J6</f>
        <v>0</v>
      </c>
      <c r="K134" s="121">
        <f>+K54+K87-K6</f>
        <v>0</v>
      </c>
      <c r="L134" s="65">
        <f>+L54+L87-L6</f>
        <v>0</v>
      </c>
      <c r="M134" s="66"/>
      <c r="N134" s="65">
        <f>+N54+N87-N6</f>
        <v>0</v>
      </c>
      <c r="O134" s="65">
        <f>+O54+O87-O6</f>
        <v>0</v>
      </c>
      <c r="P134" s="121">
        <f>+P54+P87-P6</f>
        <v>0</v>
      </c>
      <c r="Q134" s="65">
        <f>+Q54+Q87-Q6</f>
        <v>0</v>
      </c>
      <c r="R134" s="66"/>
      <c r="S134" s="65">
        <f>+S54+S87-S6</f>
        <v>0</v>
      </c>
      <c r="T134" s="65">
        <f>+T54+T87-T6</f>
        <v>0</v>
      </c>
      <c r="U134" s="121">
        <f>+U54+U87-U6</f>
        <v>0</v>
      </c>
      <c r="V134" s="65"/>
      <c r="W134" s="66"/>
      <c r="X134" s="65"/>
      <c r="Y134" s="65"/>
      <c r="Z134" s="121"/>
      <c r="AA134" s="65"/>
      <c r="AB134" s="66"/>
      <c r="AC134" s="65"/>
      <c r="AD134" s="65"/>
      <c r="AE134" s="121"/>
      <c r="AF134" s="65"/>
      <c r="AG134" s="66"/>
      <c r="AH134" s="65"/>
      <c r="AI134" s="65"/>
      <c r="AJ134" s="121"/>
      <c r="AK134" s="65"/>
      <c r="AL134" s="66"/>
      <c r="AM134" s="65"/>
      <c r="AN134" s="65"/>
      <c r="AO134" s="121"/>
      <c r="AP134" s="65"/>
      <c r="AQ134" s="66"/>
      <c r="AR134" s="65"/>
      <c r="AS134" s="65"/>
      <c r="AT134" s="121"/>
      <c r="AU134" s="65"/>
      <c r="AV134" s="66"/>
    </row>
    <row r="135" spans="2:48" s="77" customFormat="1" ht="15.6" customHeight="1" outlineLevel="1" x14ac:dyDescent="0.3">
      <c r="B135" s="64" t="s">
        <v>61</v>
      </c>
      <c r="C135" s="78"/>
      <c r="D135" s="65">
        <f>+D55+D88+D108+D123-D7</f>
        <v>0</v>
      </c>
      <c r="E135" s="65">
        <f>+E55+E88+E108+E123-E7</f>
        <v>0</v>
      </c>
      <c r="F135" s="121">
        <f>+F55+F88+F108+F123-F7</f>
        <v>0</v>
      </c>
      <c r="G135" s="65">
        <f>+G55+G88+G108+G123-G7</f>
        <v>0</v>
      </c>
      <c r="H135" s="66"/>
      <c r="I135" s="65">
        <f>+I55+I88+I108+I123-I7</f>
        <v>0</v>
      </c>
      <c r="J135" s="65">
        <f>+J55+J88+J108+J123-J7</f>
        <v>0</v>
      </c>
      <c r="K135" s="121">
        <f>+K55+K88+K108+K123-K7</f>
        <v>0</v>
      </c>
      <c r="L135" s="65">
        <f>+L55+L88+L108+L123-L7</f>
        <v>0</v>
      </c>
      <c r="M135" s="66"/>
      <c r="N135" s="65">
        <f>+N55+N88+N108+N123-N7</f>
        <v>0</v>
      </c>
      <c r="O135" s="65">
        <f>+O55+O88+O108+O123-O7</f>
        <v>0</v>
      </c>
      <c r="P135" s="121">
        <f>+P55+P88+P108+P123-P7</f>
        <v>0</v>
      </c>
      <c r="Q135" s="65">
        <f>+Q55+Q88+Q108+Q123-Q7</f>
        <v>0</v>
      </c>
      <c r="R135" s="66"/>
      <c r="S135" s="65">
        <f>+S55+S88+S108+S123-S7</f>
        <v>0</v>
      </c>
      <c r="T135" s="65">
        <f>+T55+T88+T108+T123-T7</f>
        <v>0</v>
      </c>
      <c r="U135" s="121">
        <f>+U55+U88+U108+U123-U7</f>
        <v>0</v>
      </c>
      <c r="V135" s="65"/>
      <c r="W135" s="66"/>
      <c r="X135" s="65"/>
      <c r="Y135" s="65"/>
      <c r="Z135" s="121"/>
      <c r="AA135" s="65"/>
      <c r="AB135" s="66"/>
      <c r="AC135" s="65"/>
      <c r="AD135" s="65"/>
      <c r="AE135" s="121"/>
      <c r="AF135" s="65"/>
      <c r="AG135" s="66"/>
      <c r="AH135" s="65"/>
      <c r="AI135" s="65"/>
      <c r="AJ135" s="121"/>
      <c r="AK135" s="65"/>
      <c r="AL135" s="66"/>
      <c r="AM135" s="65"/>
      <c r="AN135" s="65"/>
      <c r="AO135" s="121"/>
      <c r="AP135" s="65"/>
      <c r="AQ135" s="66"/>
      <c r="AR135" s="65"/>
      <c r="AS135" s="65"/>
      <c r="AT135" s="121"/>
      <c r="AU135" s="65"/>
      <c r="AV135" s="66"/>
    </row>
    <row r="136" spans="2:48" s="77" customFormat="1" ht="15.6" customHeight="1" outlineLevel="1" x14ac:dyDescent="0.3">
      <c r="B136" s="64" t="s">
        <v>36</v>
      </c>
      <c r="C136" s="78"/>
      <c r="D136" s="65">
        <f>+D119+D104-D16</f>
        <v>0</v>
      </c>
      <c r="E136" s="65">
        <f>+E119+E104-E16</f>
        <v>0</v>
      </c>
      <c r="F136" s="121">
        <f>+F119+F104-F16</f>
        <v>0</v>
      </c>
      <c r="G136" s="65">
        <f>+G119+G104-G16</f>
        <v>0</v>
      </c>
      <c r="H136" s="66"/>
      <c r="I136" s="65">
        <f>+I119+I104-I16</f>
        <v>0</v>
      </c>
      <c r="J136" s="65">
        <f>+J119+J104-J16</f>
        <v>0</v>
      </c>
      <c r="K136" s="121">
        <f>+K119+K104-K16</f>
        <v>0</v>
      </c>
      <c r="L136" s="65">
        <f>+L119+L104-L16</f>
        <v>0</v>
      </c>
      <c r="M136" s="66"/>
      <c r="N136" s="65">
        <f>+N119+N104-N16</f>
        <v>0</v>
      </c>
      <c r="O136" s="65">
        <f>+O119+O104-O16</f>
        <v>0</v>
      </c>
      <c r="P136" s="121">
        <f>+P119+P104-P16</f>
        <v>0</v>
      </c>
      <c r="Q136" s="65">
        <f>+Q119+Q104-Q16</f>
        <v>0</v>
      </c>
      <c r="R136" s="66"/>
      <c r="S136" s="65">
        <f>+S119+S104-S16</f>
        <v>0</v>
      </c>
      <c r="T136" s="65">
        <f>+T119+T104-T16</f>
        <v>0</v>
      </c>
      <c r="U136" s="121">
        <f>+U119+U104-U16</f>
        <v>0</v>
      </c>
      <c r="V136" s="65"/>
      <c r="W136" s="66"/>
      <c r="X136" s="65"/>
      <c r="Y136" s="65"/>
      <c r="Z136" s="121"/>
      <c r="AA136" s="65"/>
      <c r="AB136" s="66"/>
      <c r="AC136" s="65"/>
      <c r="AD136" s="65"/>
      <c r="AE136" s="121"/>
      <c r="AF136" s="65"/>
      <c r="AG136" s="66"/>
      <c r="AH136" s="65"/>
      <c r="AI136" s="65"/>
      <c r="AJ136" s="121"/>
      <c r="AK136" s="65"/>
      <c r="AL136" s="66"/>
      <c r="AM136" s="65"/>
      <c r="AN136" s="65"/>
      <c r="AO136" s="121"/>
      <c r="AP136" s="65"/>
      <c r="AQ136" s="66"/>
      <c r="AR136" s="65"/>
      <c r="AS136" s="65"/>
      <c r="AT136" s="121"/>
      <c r="AU136" s="65"/>
      <c r="AV136" s="66"/>
    </row>
    <row r="137" spans="2:48" s="77" customFormat="1" ht="15.6" customHeight="1" outlineLevel="1" x14ac:dyDescent="0.3">
      <c r="B137" s="64" t="s">
        <v>62</v>
      </c>
      <c r="C137" s="78"/>
      <c r="D137" s="65">
        <f>+D71+D105+D120+D131-D17</f>
        <v>0</v>
      </c>
      <c r="E137" s="65">
        <f>+E71+E105+E120+E131-E17</f>
        <v>0</v>
      </c>
      <c r="F137" s="121">
        <f>+F71+F105+F120+F131-F17</f>
        <v>0</v>
      </c>
      <c r="G137" s="65">
        <f>+G71+G105+G120+G131-G17</f>
        <v>9.9999999998544808E-2</v>
      </c>
      <c r="H137" s="66"/>
      <c r="I137" s="65">
        <f>+I71+I105+I120+I131-I17</f>
        <v>0</v>
      </c>
      <c r="J137" s="65">
        <f>+J71+J105+J120+J131-J17</f>
        <v>6.8212102632969618E-13</v>
      </c>
      <c r="K137" s="121">
        <f>+K71+K105+K120+K131-K17</f>
        <v>0</v>
      </c>
      <c r="L137" s="65">
        <f>+L71+L105+L120+L131-L17</f>
        <v>-2.0999999999996817</v>
      </c>
      <c r="M137" s="66"/>
      <c r="N137" s="65">
        <f>+N71+N105+N120+N131-N17</f>
        <v>0</v>
      </c>
      <c r="O137" s="65">
        <f>+O71+O105+O120+O131-O17</f>
        <v>0</v>
      </c>
      <c r="P137" s="121">
        <f>+P71+P105+P120+P131-P17</f>
        <v>0</v>
      </c>
      <c r="Q137" s="65">
        <f>+Q71+Q105+Q120+Q131-Q17</f>
        <v>0</v>
      </c>
      <c r="R137" s="66"/>
      <c r="S137" s="65">
        <f>+S71+S105+S120+S131-S17</f>
        <v>0</v>
      </c>
      <c r="T137" s="65">
        <f>+T71+T105+T120+T131-T17</f>
        <v>0</v>
      </c>
      <c r="U137" s="121">
        <f>+U71+U105+U120+U131-U17</f>
        <v>0</v>
      </c>
      <c r="V137" s="65"/>
      <c r="W137" s="66"/>
      <c r="X137" s="65"/>
      <c r="Y137" s="65"/>
      <c r="Z137" s="121"/>
      <c r="AA137" s="65"/>
      <c r="AB137" s="66"/>
      <c r="AC137" s="65"/>
      <c r="AD137" s="65"/>
      <c r="AE137" s="121"/>
      <c r="AF137" s="65"/>
      <c r="AG137" s="66"/>
      <c r="AH137" s="65"/>
      <c r="AI137" s="65"/>
      <c r="AJ137" s="121"/>
      <c r="AK137" s="65"/>
      <c r="AL137" s="66"/>
      <c r="AM137" s="65"/>
      <c r="AN137" s="65"/>
      <c r="AO137" s="121"/>
      <c r="AP137" s="65"/>
      <c r="AQ137" s="66"/>
      <c r="AR137" s="65"/>
      <c r="AS137" s="65"/>
      <c r="AT137" s="121"/>
      <c r="AU137" s="65"/>
      <c r="AV137" s="66"/>
    </row>
    <row r="138" spans="2:48" ht="15" customHeight="1" x14ac:dyDescent="0.45">
      <c r="B138" s="388" t="s">
        <v>9</v>
      </c>
      <c r="C138" s="389"/>
      <c r="D138" s="14" t="s">
        <v>19</v>
      </c>
      <c r="E138" s="14" t="s">
        <v>81</v>
      </c>
      <c r="F138" s="14" t="s">
        <v>85</v>
      </c>
      <c r="G138" s="14" t="s">
        <v>95</v>
      </c>
      <c r="H138" s="40" t="s">
        <v>96</v>
      </c>
      <c r="I138" s="14" t="s">
        <v>97</v>
      </c>
      <c r="J138" s="14" t="s">
        <v>98</v>
      </c>
      <c r="K138" s="14" t="s">
        <v>99</v>
      </c>
      <c r="L138" s="14" t="s">
        <v>143</v>
      </c>
      <c r="M138" s="40" t="s">
        <v>144</v>
      </c>
      <c r="N138" s="14" t="s">
        <v>150</v>
      </c>
      <c r="O138" s="14" t="s">
        <v>158</v>
      </c>
      <c r="P138" s="14" t="s">
        <v>160</v>
      </c>
      <c r="Q138" s="14" t="s">
        <v>173</v>
      </c>
      <c r="R138" s="40" t="s">
        <v>174</v>
      </c>
      <c r="S138" s="14" t="s">
        <v>189</v>
      </c>
      <c r="T138" s="14" t="s">
        <v>190</v>
      </c>
      <c r="U138" s="14" t="s">
        <v>205</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165</v>
      </c>
      <c r="AN138" s="12" t="s">
        <v>166</v>
      </c>
      <c r="AO138" s="12" t="s">
        <v>167</v>
      </c>
      <c r="AP138" s="12" t="s">
        <v>168</v>
      </c>
      <c r="AQ138" s="42" t="s">
        <v>169</v>
      </c>
      <c r="AR138" s="12" t="s">
        <v>196</v>
      </c>
      <c r="AS138" s="12" t="s">
        <v>197</v>
      </c>
      <c r="AT138" s="12" t="s">
        <v>198</v>
      </c>
      <c r="AU138" s="12" t="s">
        <v>199</v>
      </c>
      <c r="AV138" s="42" t="s">
        <v>200</v>
      </c>
    </row>
    <row r="139" spans="2:48" s="23" customFormat="1" outlineLevel="1" x14ac:dyDescent="0.3">
      <c r="B139" s="210" t="s">
        <v>170</v>
      </c>
      <c r="C139" s="211"/>
      <c r="D139" s="27"/>
      <c r="E139" s="27"/>
      <c r="F139" s="27"/>
      <c r="G139" s="27"/>
      <c r="H139" s="29"/>
      <c r="I139" s="27"/>
      <c r="J139" s="27"/>
      <c r="K139" s="27"/>
      <c r="L139" s="113"/>
      <c r="M139" s="138"/>
      <c r="N139" s="113"/>
      <c r="O139" s="113"/>
      <c r="P139" s="113"/>
      <c r="Q139" s="113"/>
      <c r="R139" s="29"/>
      <c r="S139" s="113"/>
      <c r="T139" s="113"/>
      <c r="U139" s="113"/>
      <c r="V139" s="113"/>
      <c r="W139" s="138"/>
      <c r="X139" s="113"/>
      <c r="Y139" s="113"/>
      <c r="Z139" s="113"/>
      <c r="AA139" s="113"/>
      <c r="AB139" s="138"/>
      <c r="AC139" s="113"/>
      <c r="AD139" s="113"/>
      <c r="AE139" s="113"/>
      <c r="AF139" s="113"/>
      <c r="AG139" s="138"/>
      <c r="AH139" s="113"/>
      <c r="AI139" s="113"/>
      <c r="AJ139" s="113"/>
      <c r="AK139" s="113"/>
      <c r="AL139" s="29"/>
      <c r="AM139" s="113"/>
      <c r="AN139" s="113"/>
      <c r="AO139" s="113"/>
      <c r="AP139" s="113"/>
      <c r="AQ139" s="29"/>
      <c r="AR139" s="113"/>
      <c r="AS139" s="113"/>
      <c r="AT139" s="113"/>
      <c r="AU139" s="113"/>
      <c r="AV139" s="29"/>
    </row>
    <row r="140" spans="2:48" s="23" customFormat="1" outlineLevel="1" x14ac:dyDescent="0.3">
      <c r="B140" s="392" t="s">
        <v>17</v>
      </c>
      <c r="C140" s="393"/>
      <c r="D140" s="30"/>
      <c r="E140" s="30"/>
      <c r="F140" s="30"/>
      <c r="G140" s="30"/>
      <c r="H140" s="138"/>
      <c r="I140" s="30">
        <f t="shared" ref="I140:AV140" si="126">I8/D8-1</f>
        <v>7.0016735266180907E-2</v>
      </c>
      <c r="J140" s="30">
        <f t="shared" si="126"/>
        <v>-4.9192026514851106E-2</v>
      </c>
      <c r="K140" s="30">
        <f t="shared" si="126"/>
        <v>-0.38119595485856661</v>
      </c>
      <c r="L140" s="113">
        <f t="shared" si="126"/>
        <v>-8.061360604713208E-2</v>
      </c>
      <c r="M140" s="129">
        <f t="shared" si="126"/>
        <v>-0.11281621813298315</v>
      </c>
      <c r="N140" s="30">
        <f t="shared" si="126"/>
        <v>-4.8991841738174613E-2</v>
      </c>
      <c r="O140" s="30">
        <f t="shared" si="126"/>
        <v>0.11213036009139876</v>
      </c>
      <c r="P140" s="30">
        <f t="shared" si="126"/>
        <v>0.77553823926482068</v>
      </c>
      <c r="Q140" s="30">
        <f t="shared" si="126"/>
        <v>0.31332720736405983</v>
      </c>
      <c r="R140" s="129">
        <f t="shared" si="126"/>
        <v>0.23567480227910509</v>
      </c>
      <c r="S140" s="30">
        <f t="shared" si="126"/>
        <v>0.19275787477405393</v>
      </c>
      <c r="T140" s="30">
        <f t="shared" si="126"/>
        <v>0.14511097780443905</v>
      </c>
      <c r="U140" s="30">
        <f t="shared" si="126"/>
        <v>8.7187354098579473E-2</v>
      </c>
      <c r="V140" s="30"/>
      <c r="W140" s="28"/>
      <c r="X140" s="30"/>
      <c r="Y140" s="30"/>
      <c r="Z140" s="30"/>
      <c r="AA140" s="30"/>
      <c r="AB140" s="138"/>
      <c r="AC140" s="30"/>
      <c r="AD140" s="30"/>
      <c r="AE140" s="30"/>
      <c r="AF140" s="30"/>
      <c r="AG140" s="138"/>
      <c r="AH140" s="30"/>
      <c r="AI140" s="30"/>
      <c r="AJ140" s="30"/>
      <c r="AK140" s="30"/>
      <c r="AL140" s="28"/>
      <c r="AM140" s="30"/>
      <c r="AN140" s="30"/>
      <c r="AO140" s="30"/>
      <c r="AP140" s="30"/>
      <c r="AQ140" s="28"/>
      <c r="AR140" s="30"/>
      <c r="AS140" s="30"/>
      <c r="AT140" s="30"/>
      <c r="AU140" s="30"/>
      <c r="AV140" s="28"/>
    </row>
    <row r="141" spans="2:48" s="23" customFormat="1" outlineLevel="1" x14ac:dyDescent="0.3">
      <c r="B141" s="392" t="s">
        <v>4</v>
      </c>
      <c r="C141" s="393"/>
      <c r="D141" s="27">
        <f t="shared" ref="D141:AV141" si="127">D17/D8</f>
        <v>0.15313522396610738</v>
      </c>
      <c r="E141" s="27">
        <f t="shared" si="127"/>
        <v>0.13601547756862614</v>
      </c>
      <c r="F141" s="27">
        <f t="shared" si="127"/>
        <v>0.16434119888612064</v>
      </c>
      <c r="G141" s="27">
        <f t="shared" si="127"/>
        <v>0.16054542759745088</v>
      </c>
      <c r="H141" s="29">
        <f t="shared" si="127"/>
        <v>0.15383309567461143</v>
      </c>
      <c r="I141" s="27">
        <f t="shared" si="127"/>
        <v>0.1718730185568752</v>
      </c>
      <c r="J141" s="27">
        <f t="shared" si="127"/>
        <v>8.1291592307820446E-2</v>
      </c>
      <c r="K141" s="27">
        <f t="shared" si="127"/>
        <v>-0.16671798394164022</v>
      </c>
      <c r="L141" s="113">
        <f t="shared" si="127"/>
        <v>9.0003385404072211E-2</v>
      </c>
      <c r="M141" s="138">
        <f t="shared" si="127"/>
        <v>6.6400204098988183E-2</v>
      </c>
      <c r="N141" s="27">
        <f t="shared" si="127"/>
        <v>0.13534536403235845</v>
      </c>
      <c r="O141" s="27">
        <f t="shared" si="127"/>
        <v>0.14811037792441512</v>
      </c>
      <c r="P141" s="27">
        <f t="shared" si="127"/>
        <v>0.19858600680317468</v>
      </c>
      <c r="Q141" s="27">
        <f t="shared" si="127"/>
        <v>0.18193869910515911</v>
      </c>
      <c r="R141" s="138">
        <f t="shared" si="127"/>
        <v>0.16764966999993108</v>
      </c>
      <c r="S141" s="27">
        <f t="shared" si="127"/>
        <v>0.14630328927755143</v>
      </c>
      <c r="T141" s="27">
        <f t="shared" si="127"/>
        <v>0.12427314159987431</v>
      </c>
      <c r="U141" s="27">
        <f t="shared" si="127"/>
        <v>0.15895510484533926</v>
      </c>
      <c r="V141" s="27"/>
      <c r="W141" s="138"/>
      <c r="X141" s="27"/>
      <c r="Y141" s="27"/>
      <c r="Z141" s="27"/>
      <c r="AA141" s="27"/>
      <c r="AB141" s="138"/>
      <c r="AC141" s="27"/>
      <c r="AD141" s="27"/>
      <c r="AE141" s="27"/>
      <c r="AF141" s="27"/>
      <c r="AG141" s="138"/>
      <c r="AH141" s="27"/>
      <c r="AI141" s="27"/>
      <c r="AJ141" s="27"/>
      <c r="AK141" s="27"/>
      <c r="AL141" s="29"/>
      <c r="AM141" s="27"/>
      <c r="AN141" s="27"/>
      <c r="AO141" s="27"/>
      <c r="AP141" s="27"/>
      <c r="AQ141" s="29"/>
      <c r="AR141" s="27"/>
      <c r="AS141" s="27"/>
      <c r="AT141" s="27"/>
      <c r="AU141" s="27"/>
      <c r="AV141" s="29"/>
    </row>
    <row r="142" spans="2:48" s="23" customFormat="1" outlineLevel="1" x14ac:dyDescent="0.3">
      <c r="B142" s="392" t="s">
        <v>77</v>
      </c>
      <c r="C142" s="393"/>
      <c r="D142" s="27">
        <f t="shared" ref="D142:AV142" si="128">+D19/D8</f>
        <v>0.17394123056975294</v>
      </c>
      <c r="E142" s="27">
        <f t="shared" si="128"/>
        <v>0.15843892227913536</v>
      </c>
      <c r="F142" s="27">
        <f t="shared" si="128"/>
        <v>0.18270555474131628</v>
      </c>
      <c r="G142" s="27">
        <f t="shared" si="128"/>
        <v>0.17201719282644154</v>
      </c>
      <c r="H142" s="29">
        <f t="shared" si="128"/>
        <v>0.17201964645435841</v>
      </c>
      <c r="I142" s="27">
        <f t="shared" si="128"/>
        <v>0.1819616463062376</v>
      </c>
      <c r="J142" s="27">
        <f t="shared" si="128"/>
        <v>9.2432910252347358E-2</v>
      </c>
      <c r="K142" s="27">
        <f t="shared" si="128"/>
        <v>-0.12558205632268285</v>
      </c>
      <c r="L142" s="113">
        <f t="shared" si="128"/>
        <v>0.13183730715287523</v>
      </c>
      <c r="M142" s="138">
        <f t="shared" si="128"/>
        <v>9.0704141508631861E-2</v>
      </c>
      <c r="N142" s="27">
        <f t="shared" si="128"/>
        <v>0.15533232583637069</v>
      </c>
      <c r="O142" s="27">
        <f t="shared" si="128"/>
        <v>0.1613377324535093</v>
      </c>
      <c r="P142" s="27">
        <f t="shared" si="128"/>
        <v>0.20548255852731262</v>
      </c>
      <c r="Q142" s="27">
        <f t="shared" si="128"/>
        <v>0.19607939411049871</v>
      </c>
      <c r="R142" s="138">
        <f t="shared" si="128"/>
        <v>0.18106990220435909</v>
      </c>
      <c r="S142" s="27">
        <f t="shared" si="128"/>
        <v>0.15067574282023255</v>
      </c>
      <c r="T142" s="27">
        <f t="shared" si="128"/>
        <v>0.13049400178113052</v>
      </c>
      <c r="U142" s="27">
        <f t="shared" si="128"/>
        <v>0.16846419062342788</v>
      </c>
      <c r="V142" s="27"/>
      <c r="W142" s="138"/>
      <c r="X142" s="27"/>
      <c r="Y142" s="27"/>
      <c r="Z142" s="27"/>
      <c r="AA142" s="27"/>
      <c r="AB142" s="138"/>
      <c r="AC142" s="27"/>
      <c r="AD142" s="27"/>
      <c r="AE142" s="27"/>
      <c r="AF142" s="27"/>
      <c r="AG142" s="138"/>
      <c r="AH142" s="27"/>
      <c r="AI142" s="27"/>
      <c r="AJ142" s="27"/>
      <c r="AK142" s="27"/>
      <c r="AL142" s="29"/>
      <c r="AM142" s="27"/>
      <c r="AN142" s="27"/>
      <c r="AO142" s="27"/>
      <c r="AP142" s="27"/>
      <c r="AQ142" s="29"/>
      <c r="AR142" s="27"/>
      <c r="AS142" s="27"/>
      <c r="AT142" s="27"/>
      <c r="AU142" s="27"/>
      <c r="AV142" s="29"/>
    </row>
    <row r="143" spans="2:48" s="23" customFormat="1" outlineLevel="1" x14ac:dyDescent="0.3">
      <c r="B143" s="392" t="s">
        <v>2</v>
      </c>
      <c r="C143" s="393"/>
      <c r="D143" s="27">
        <f t="shared" ref="D143:K143" si="129">D24/D23</f>
        <v>0.2124287933713101</v>
      </c>
      <c r="E143" s="27">
        <f t="shared" si="129"/>
        <v>0.1965853658536586</v>
      </c>
      <c r="F143" s="27">
        <f t="shared" si="129"/>
        <v>0.18110799689903978</v>
      </c>
      <c r="G143" s="118">
        <f t="shared" si="129"/>
        <v>0.20083682008368189</v>
      </c>
      <c r="H143" s="138">
        <f t="shared" si="129"/>
        <v>0.19515471765706843</v>
      </c>
      <c r="I143" s="118">
        <f t="shared" si="129"/>
        <v>0.22600104913446431</v>
      </c>
      <c r="J143" s="118">
        <f t="shared" si="129"/>
        <v>0.16760635571501836</v>
      </c>
      <c r="K143" s="118">
        <f t="shared" si="129"/>
        <v>0.16490147783251249</v>
      </c>
      <c r="L143" s="118">
        <v>0.25</v>
      </c>
      <c r="M143" s="138">
        <f t="shared" ref="M143:U143" si="130">M24/M23</f>
        <v>0.20585709378220463</v>
      </c>
      <c r="N143" s="118">
        <f t="shared" si="130"/>
        <v>0.23023629840405785</v>
      </c>
      <c r="O143" s="118">
        <f t="shared" si="130"/>
        <v>0.25901786717608721</v>
      </c>
      <c r="P143" s="118">
        <f t="shared" si="130"/>
        <v>0.18217246510309659</v>
      </c>
      <c r="Q143" s="118">
        <f t="shared" si="130"/>
        <v>0.21489588894821143</v>
      </c>
      <c r="R143" s="138">
        <f t="shared" si="130"/>
        <v>0.21591906068581893</v>
      </c>
      <c r="S143" s="118">
        <f t="shared" si="130"/>
        <v>0.23183358433734938</v>
      </c>
      <c r="T143" s="118">
        <f t="shared" si="130"/>
        <v>0.22954000684853323</v>
      </c>
      <c r="U143" s="118">
        <f t="shared" si="130"/>
        <v>0.23360174467371256</v>
      </c>
      <c r="V143" s="35"/>
      <c r="W143" s="138"/>
      <c r="X143" s="34"/>
      <c r="Y143" s="34"/>
      <c r="Z143" s="34"/>
      <c r="AA143" s="34"/>
      <c r="AB143" s="138"/>
      <c r="AC143" s="34"/>
      <c r="AD143" s="34"/>
      <c r="AE143" s="34"/>
      <c r="AF143" s="34"/>
      <c r="AG143" s="29"/>
      <c r="AH143" s="34"/>
      <c r="AI143" s="34"/>
      <c r="AJ143" s="34"/>
      <c r="AK143" s="34"/>
      <c r="AL143" s="29"/>
      <c r="AM143" s="34"/>
      <c r="AN143" s="34"/>
      <c r="AO143" s="34"/>
      <c r="AP143" s="34"/>
      <c r="AQ143" s="29"/>
      <c r="AR143" s="34"/>
      <c r="AS143" s="34"/>
      <c r="AT143" s="34"/>
      <c r="AU143" s="34"/>
      <c r="AV143" s="29"/>
    </row>
    <row r="144" spans="2:48" s="23" customFormat="1" outlineLevel="1" x14ac:dyDescent="0.3">
      <c r="B144" s="392" t="s">
        <v>78</v>
      </c>
      <c r="C144" s="393"/>
      <c r="D144" s="27"/>
      <c r="E144" s="27">
        <f>+E21/(('Balance Sheet'!E6+'Balance Sheet'!E7+'Balance Sheet'!E12)+('Balance Sheet'!D6+'Balance Sheet'!D7+'Balance Sheet'!D12)/2)</f>
        <v>3.0327214684756584E-3</v>
      </c>
      <c r="F144" s="27">
        <f>+F21/(('Balance Sheet'!F6+'Balance Sheet'!F7+'Balance Sheet'!F12)+('Balance Sheet'!E6+'Balance Sheet'!E7+'Balance Sheet'!E12)/2)</f>
        <v>6.4321029136466161E-3</v>
      </c>
      <c r="G144" s="27">
        <f>+G21/(('Balance Sheet'!G6+'Balance Sheet'!G7+'Balance Sheet'!G12)+('Balance Sheet'!F6+'Balance Sheet'!F7+'Balance Sheet'!F12)/2)</f>
        <v>2.9603261807251862E-3</v>
      </c>
      <c r="H144" s="29"/>
      <c r="I144" s="27">
        <f>+I21/(('Balance Sheet'!I6+'Balance Sheet'!I7+'Balance Sheet'!I12)+('Balance Sheet'!G6+'Balance Sheet'!G7+'Balance Sheet'!G12)/2)</f>
        <v>3.3143988743550958E-3</v>
      </c>
      <c r="J144" s="27">
        <f>+J21/(('Balance Sheet'!J6+'Balance Sheet'!J7+'Balance Sheet'!J12)+('Balance Sheet'!I6+'Balance Sheet'!I7+'Balance Sheet'!I12)/2)</f>
        <v>4.4659305324505627E-4</v>
      </c>
      <c r="K144" s="27">
        <f>+K21/(('Balance Sheet'!K6+'Balance Sheet'!K7+'Balance Sheet'!K12)+('Balance Sheet'!J6+'Balance Sheet'!J7+'Balance Sheet'!J12)/2)</f>
        <v>2.1779393606804753E-3</v>
      </c>
      <c r="L144" s="27">
        <f>+L21/(('Balance Sheet'!L6+'Balance Sheet'!L7+'Balance Sheet'!L12)+('Balance Sheet'!K6+'Balance Sheet'!K7+'Balance Sheet'!K12)/2)</f>
        <v>1.2911830642186198E-3</v>
      </c>
      <c r="M144" s="29"/>
      <c r="N144" s="27">
        <f>+N21/(('Balance Sheet'!N6+'Balance Sheet'!N7+'Balance Sheet'!N12)+('Balance Sheet'!L6+'Balance Sheet'!L7+'Balance Sheet'!L12)/2)</f>
        <v>1.9686289451959073E-3</v>
      </c>
      <c r="O144" s="27">
        <f>+O21/(('Balance Sheet'!O6+'Balance Sheet'!O7+'Balance Sheet'!O12)+('Balance Sheet'!N6+'Balance Sheet'!N7+'Balance Sheet'!N12)/2)</f>
        <v>2.465933063458573E-3</v>
      </c>
      <c r="P144" s="27">
        <f>+P21/(('Balance Sheet'!P6+'Balance Sheet'!P7+'Balance Sheet'!P12)+('Balance Sheet'!O6+'Balance Sheet'!O7+'Balance Sheet'!O12)/2)</f>
        <v>4.9067713444553383E-3</v>
      </c>
      <c r="Q144" s="27">
        <f>+Q21/(('Balance Sheet'!Q6+'Balance Sheet'!Q7+'Balance Sheet'!Q12)+('Balance Sheet'!P6+'Balance Sheet'!P7+'Balance Sheet'!P12)/2)</f>
        <v>2.2641350477574504E-3</v>
      </c>
      <c r="R144" s="138"/>
      <c r="S144" s="27">
        <f>+S21/(('Balance Sheet'!S6+'Balance Sheet'!S7+'Balance Sheet'!S12)+('Balance Sheet'!Q6+'Balance Sheet'!Q7+'Balance Sheet'!Q12)/2)</f>
        <v>-1.2810330250313835E-5</v>
      </c>
      <c r="T144" s="27">
        <f>+T21/(('Balance Sheet'!T6+'Balance Sheet'!T7+'Balance Sheet'!T12)+('Balance Sheet'!S6+'Balance Sheet'!S7+'Balance Sheet'!S12)/2)</f>
        <v>7.1679593764030023E-3</v>
      </c>
      <c r="U144" s="27">
        <f>+U21/(('Balance Sheet'!U6+'Balance Sheet'!U7+'Balance Sheet'!U12)+('Balance Sheet'!T6+'Balance Sheet'!T7+'Balance Sheet'!T12)/2)</f>
        <v>3.4813492865871276E-3</v>
      </c>
      <c r="V144" s="35"/>
      <c r="W144" s="138"/>
      <c r="X144" s="35"/>
      <c r="Y144" s="35"/>
      <c r="Z144" s="35"/>
      <c r="AA144" s="35"/>
      <c r="AB144" s="138"/>
      <c r="AC144" s="35"/>
      <c r="AD144" s="35"/>
      <c r="AE144" s="35"/>
      <c r="AF144" s="35"/>
      <c r="AG144" s="29"/>
      <c r="AH144" s="35"/>
      <c r="AI144" s="35"/>
      <c r="AJ144" s="35"/>
      <c r="AK144" s="35"/>
      <c r="AL144" s="29"/>
      <c r="AM144" s="35"/>
      <c r="AN144" s="35"/>
      <c r="AO144" s="35"/>
      <c r="AP144" s="35"/>
      <c r="AQ144" s="29"/>
      <c r="AR144" s="35"/>
      <c r="AS144" s="35"/>
      <c r="AT144" s="35"/>
      <c r="AU144" s="35"/>
      <c r="AV144" s="29"/>
    </row>
    <row r="145" spans="2:48" s="23" customFormat="1" outlineLevel="1" x14ac:dyDescent="0.3">
      <c r="B145" s="392" t="s">
        <v>79</v>
      </c>
      <c r="C145" s="393"/>
      <c r="D145" s="27"/>
      <c r="E145" s="225">
        <f>-E22/(((('Balance Sheet'!E28+'Balance Sheet'!E31)+('Balance Sheet'!D28+'Balance Sheet'!D31))/2))</f>
        <v>8.0557251242696429E-3</v>
      </c>
      <c r="F145" s="225">
        <f>-F22/(((('Balance Sheet'!F28+'Balance Sheet'!F31)+('Balance Sheet'!E28+'Balance Sheet'!E31))/2))</f>
        <v>8.4807318557490342E-3</v>
      </c>
      <c r="G145" s="225">
        <f>-G22/(((('Balance Sheet'!G28+'Balance Sheet'!G31)+('Balance Sheet'!F28+'Balance Sheet'!F31))/2))</f>
        <v>8.572925858076421E-3</v>
      </c>
      <c r="H145" s="29"/>
      <c r="I145" s="225">
        <f>-I22/(((('Balance Sheet'!I28+'Balance Sheet'!I31)+('Balance Sheet'!G28+'Balance Sheet'!G31))/2))</f>
        <v>8.0554679008449908E-3</v>
      </c>
      <c r="J145" s="225">
        <f>-J22/(((('Balance Sheet'!J28+'Balance Sheet'!J31)+('Balance Sheet'!I28+'Balance Sheet'!I31))/2))</f>
        <v>7.730372102084551E-3</v>
      </c>
      <c r="K145" s="225">
        <f>-K22/(((('Balance Sheet'!K28+'Balance Sheet'!K31)+('Balance Sheet'!J28+'Balance Sheet'!J31))/2))</f>
        <v>7.8322294946980078E-3</v>
      </c>
      <c r="L145" s="225">
        <f>-L22/(((('Balance Sheet'!L28+'Balance Sheet'!L31)+('Balance Sheet'!K28+'Balance Sheet'!K31))/2))</f>
        <v>7.5346594333936109E-3</v>
      </c>
      <c r="M145" s="29"/>
      <c r="N145" s="225">
        <f>-N22/(((('Balance Sheet'!N28+'Balance Sheet'!N31)+('Balance Sheet'!L28+'Balance Sheet'!L31))/2))</f>
        <v>7.481930548840208E-3</v>
      </c>
      <c r="O145" s="225">
        <f>-O22/(((('Balance Sheet'!O28+'Balance Sheet'!O31)+('Balance Sheet'!N28+'Balance Sheet'!N31))/2))</f>
        <v>7.5250206938069089E-3</v>
      </c>
      <c r="P145" s="225">
        <f>-P22/(((('Balance Sheet'!P28+'Balance Sheet'!P31)+('Balance Sheet'!O28+'Balance Sheet'!O31))/2))</f>
        <v>7.7494216976973845E-3</v>
      </c>
      <c r="Q145" s="225">
        <f>-Q22/(((('Balance Sheet'!Q28+'Balance Sheet'!Q31)+('Balance Sheet'!P28+'Balance Sheet'!P31))/2))</f>
        <v>8.2506952544819535E-3</v>
      </c>
      <c r="R145" s="29"/>
      <c r="S145" s="225">
        <f>-S22/(((('Balance Sheet'!S28+'Balance Sheet'!S31)+('Balance Sheet'!Q28+'Balance Sheet'!Q31))/2))</f>
        <v>7.8431639309692741E-3</v>
      </c>
      <c r="T145" s="225">
        <f>-T22/(((('Balance Sheet'!T28+'Balance Sheet'!T31)+('Balance Sheet'!S28+'Balance Sheet'!S31))/2))</f>
        <v>7.7341177845746236E-3</v>
      </c>
      <c r="U145" s="225">
        <f>-U22/(((('Balance Sheet'!U28+'Balance Sheet'!U31)+('Balance Sheet'!T28+'Balance Sheet'!T31))/2))</f>
        <v>7.9054937080361813E-3</v>
      </c>
      <c r="V145" s="226"/>
      <c r="W145" s="138"/>
      <c r="X145" s="35"/>
      <c r="Y145" s="35"/>
      <c r="Z145" s="35"/>
      <c r="AA145" s="35"/>
      <c r="AB145" s="138"/>
      <c r="AC145" s="35"/>
      <c r="AD145" s="35"/>
      <c r="AE145" s="35"/>
      <c r="AF145" s="35"/>
      <c r="AG145" s="29"/>
      <c r="AH145" s="35"/>
      <c r="AI145" s="35"/>
      <c r="AJ145" s="35"/>
      <c r="AK145" s="35"/>
      <c r="AL145" s="29"/>
      <c r="AM145" s="35"/>
      <c r="AN145" s="35"/>
      <c r="AO145" s="35"/>
      <c r="AP145" s="35"/>
      <c r="AQ145" s="29"/>
      <c r="AR145" s="35"/>
      <c r="AS145" s="35"/>
      <c r="AT145" s="35"/>
      <c r="AU145" s="35"/>
      <c r="AV145" s="29"/>
    </row>
    <row r="146" spans="2:48" s="23" customFormat="1" outlineLevel="1" x14ac:dyDescent="0.3">
      <c r="B146" s="210" t="s">
        <v>187</v>
      </c>
      <c r="C146" s="211"/>
      <c r="D146" s="113"/>
      <c r="E146" s="113"/>
      <c r="F146" s="113"/>
      <c r="G146" s="113"/>
      <c r="H146" s="138"/>
      <c r="I146" s="113">
        <f>I33/D33-1</f>
        <v>0.2254857129231771</v>
      </c>
      <c r="J146" s="113">
        <f t="shared" ref="J146:AV146" si="131">J33/E33-1</f>
        <v>-0.47546772308917484</v>
      </c>
      <c r="K146" s="113">
        <f t="shared" si="131"/>
        <v>-1.5172211898784418</v>
      </c>
      <c r="L146" s="113">
        <f t="shared" si="131"/>
        <v>-0.49266142278343572</v>
      </c>
      <c r="M146" s="138">
        <f t="shared" si="131"/>
        <v>-0.73466371126240593</v>
      </c>
      <c r="N146" s="113">
        <f t="shared" si="131"/>
        <v>-0.292754196932551</v>
      </c>
      <c r="O146" s="113">
        <f t="shared" si="131"/>
        <v>1.0009687774744878</v>
      </c>
      <c r="P146" s="113">
        <f t="shared" si="131"/>
        <v>-2.6748075301104208</v>
      </c>
      <c r="Q146" s="113">
        <f t="shared" si="131"/>
        <v>3.4604705530296798</v>
      </c>
      <c r="R146" s="138">
        <f t="shared" si="131"/>
        <v>3.5714373754781779</v>
      </c>
      <c r="S146" s="113">
        <f t="shared" si="131"/>
        <v>0.31844745711851452</v>
      </c>
      <c r="T146" s="113">
        <f t="shared" si="131"/>
        <v>5.0603007043171555E-2</v>
      </c>
      <c r="U146" s="113">
        <f t="shared" si="131"/>
        <v>-0.18430865147381992</v>
      </c>
      <c r="V146" s="113"/>
      <c r="W146" s="138"/>
      <c r="X146" s="113"/>
      <c r="Y146" s="113"/>
      <c r="Z146" s="113"/>
      <c r="AA146" s="113"/>
      <c r="AB146" s="138"/>
      <c r="AC146" s="113"/>
      <c r="AD146" s="113"/>
      <c r="AE146" s="113"/>
      <c r="AF146" s="113"/>
      <c r="AG146" s="138"/>
      <c r="AH146" s="113"/>
      <c r="AI146" s="113"/>
      <c r="AJ146" s="113"/>
      <c r="AK146" s="113"/>
      <c r="AL146" s="138"/>
      <c r="AM146" s="113"/>
      <c r="AN146" s="113"/>
      <c r="AO146" s="113"/>
      <c r="AP146" s="113"/>
      <c r="AQ146" s="138"/>
      <c r="AR146" s="113"/>
      <c r="AS146" s="113"/>
      <c r="AT146" s="113"/>
      <c r="AU146" s="113"/>
      <c r="AV146" s="138"/>
    </row>
    <row r="147" spans="2:48" s="23" customFormat="1" outlineLevel="1" x14ac:dyDescent="0.3">
      <c r="B147" s="210" t="s">
        <v>139</v>
      </c>
      <c r="C147" s="211"/>
      <c r="D147" s="27"/>
      <c r="E147" s="27"/>
      <c r="F147" s="27"/>
      <c r="G147" s="27"/>
      <c r="H147" s="29"/>
      <c r="I147" s="27">
        <f t="shared" ref="I147:V147" si="132">I34/D34-1</f>
        <v>5.9389868457878192E-2</v>
      </c>
      <c r="J147" s="27">
        <f t="shared" si="132"/>
        <v>-0.47460546003783222</v>
      </c>
      <c r="K147" s="27">
        <f t="shared" si="132"/>
        <v>-1.5922286955663072</v>
      </c>
      <c r="L147" s="113">
        <f t="shared" si="132"/>
        <v>-0.26631134736842188</v>
      </c>
      <c r="M147" s="138">
        <f t="shared" si="132"/>
        <v>-0.59372113780519853</v>
      </c>
      <c r="N147" s="113">
        <f t="shared" si="132"/>
        <v>-0.23228377390823718</v>
      </c>
      <c r="O147" s="113">
        <f t="shared" si="132"/>
        <v>0.96992458477270005</v>
      </c>
      <c r="P147" s="113">
        <f t="shared" si="132"/>
        <v>-3.1776350920116565</v>
      </c>
      <c r="Q147" s="113">
        <f t="shared" si="132"/>
        <v>0.95350602232643134</v>
      </c>
      <c r="R147" s="29">
        <f t="shared" si="132"/>
        <v>1.8162682861720394</v>
      </c>
      <c r="S147" s="113">
        <f t="shared" si="132"/>
        <v>0.18036058258616094</v>
      </c>
      <c r="T147" s="113">
        <f t="shared" si="132"/>
        <v>-5.6546752866856842E-2</v>
      </c>
      <c r="U147" s="113">
        <f t="shared" si="132"/>
        <v>-0.16448812865885809</v>
      </c>
      <c r="V147" s="113"/>
      <c r="W147" s="138"/>
      <c r="X147" s="113"/>
      <c r="Y147" s="113"/>
      <c r="Z147" s="113"/>
      <c r="AA147" s="113"/>
      <c r="AB147" s="138"/>
      <c r="AC147" s="113"/>
      <c r="AD147" s="113"/>
      <c r="AE147" s="113"/>
      <c r="AF147" s="113"/>
      <c r="AG147" s="138"/>
      <c r="AH147" s="113"/>
      <c r="AI147" s="113"/>
      <c r="AJ147" s="113"/>
      <c r="AK147" s="113"/>
      <c r="AL147" s="29"/>
      <c r="AM147" s="113"/>
      <c r="AN147" s="113"/>
      <c r="AO147" s="113"/>
      <c r="AP147" s="113"/>
      <c r="AQ147" s="29"/>
      <c r="AR147" s="113"/>
      <c r="AS147" s="113"/>
      <c r="AT147" s="113"/>
      <c r="AU147" s="113"/>
      <c r="AV147" s="29"/>
    </row>
    <row r="148" spans="2:48" s="23" customFormat="1" outlineLevel="1" x14ac:dyDescent="0.3">
      <c r="B148" s="210" t="s">
        <v>140</v>
      </c>
      <c r="C148" s="211"/>
      <c r="D148" s="27"/>
      <c r="E148" s="27"/>
      <c r="F148" s="27"/>
      <c r="G148" s="27"/>
      <c r="H148" s="29"/>
      <c r="I148" s="27">
        <f>'Cash Flow Statement'!I55</f>
        <v>-0.22820512820512895</v>
      </c>
      <c r="J148" s="27">
        <f>'Cash Flow Statement'!J55</f>
        <v>-4.4869364754098413</v>
      </c>
      <c r="K148" s="27">
        <f>'Cash Flow Statement'!K55</f>
        <v>-1.314434752864716</v>
      </c>
      <c r="L148" s="113">
        <f>'Cash Flow Statement'!L55</f>
        <v>0.34527569713924766</v>
      </c>
      <c r="M148" s="138">
        <f>'Cash Flow Statement'!M55</f>
        <v>-0.68340961778517451</v>
      </c>
      <c r="N148" s="113">
        <f>'Cash Flow Statement'!N55</f>
        <v>-2.1785305811139466E-4</v>
      </c>
      <c r="O148" s="113">
        <f>'Cash Flow Statement'!O55</f>
        <v>-1.649232351428781</v>
      </c>
      <c r="P148" s="113">
        <f>'Cash Flow Statement'!P55</f>
        <v>-5.7565950503127619</v>
      </c>
      <c r="Q148" s="113">
        <f>'Cash Flow Statement'!Q55</f>
        <v>2.012477359629572E-2</v>
      </c>
      <c r="R148" s="29">
        <f>'Cash Flow Statement'!R55</f>
        <v>2.7484040555764064</v>
      </c>
      <c r="S148" s="113">
        <f>'Cash Flow Statement'!S55</f>
        <v>1.9175246499972598E-2</v>
      </c>
      <c r="T148" s="113">
        <f>'Cash Flow Statement'!T55</f>
        <v>-0.81681375876895213</v>
      </c>
      <c r="U148" s="113">
        <f>'Cash Flow Statement'!U55</f>
        <v>-0.27684391080617499</v>
      </c>
      <c r="V148" s="113"/>
      <c r="W148" s="138"/>
      <c r="X148" s="113"/>
      <c r="Y148" s="113"/>
      <c r="Z148" s="113"/>
      <c r="AA148" s="113"/>
      <c r="AB148" s="138"/>
      <c r="AC148" s="113"/>
      <c r="AD148" s="113"/>
      <c r="AE148" s="113"/>
      <c r="AF148" s="113"/>
      <c r="AG148" s="138"/>
      <c r="AH148" s="113"/>
      <c r="AI148" s="113"/>
      <c r="AJ148" s="113"/>
      <c r="AK148" s="113"/>
      <c r="AL148" s="29"/>
      <c r="AM148" s="113"/>
      <c r="AN148" s="113"/>
      <c r="AO148" s="113"/>
      <c r="AP148" s="113"/>
      <c r="AQ148" s="29"/>
      <c r="AR148" s="113"/>
      <c r="AS148" s="113"/>
      <c r="AT148" s="113"/>
      <c r="AU148" s="113"/>
      <c r="AV148" s="29"/>
    </row>
    <row r="149" spans="2:48" s="23" customFormat="1" outlineLevel="1" x14ac:dyDescent="0.3">
      <c r="B149" s="210" t="s">
        <v>141</v>
      </c>
      <c r="C149" s="211"/>
      <c r="D149" s="27"/>
      <c r="E149" s="27"/>
      <c r="F149" s="27"/>
      <c r="G149" s="27"/>
      <c r="H149" s="29"/>
      <c r="I149" s="27">
        <f>'Cash Flow Statement'!I42/'Cash Flow Statement'!D42-1</f>
        <v>-0.2458089318634894</v>
      </c>
      <c r="J149" s="27">
        <f>'Cash Flow Statement'!J42/'Cash Flow Statement'!E42-1</f>
        <v>-51.287720793607015</v>
      </c>
      <c r="K149" s="27">
        <f>'Cash Flow Statement'!K42/'Cash Flow Statement'!F42-1</f>
        <v>-1.818621529867086</v>
      </c>
      <c r="L149" s="113">
        <f>'Cash Flow Statement'!L42/'Cash Flow Statement'!G42-1</f>
        <v>0.89358592850629726</v>
      </c>
      <c r="M149" s="138">
        <f>'Cash Flow Statement'!M42/'Cash Flow Statement'!H42-1</f>
        <v>-0.87154154116200122</v>
      </c>
      <c r="N149" s="113">
        <f>'Cash Flow Statement'!N42/'Cash Flow Statement'!I42-1</f>
        <v>6.0678519132802089E-2</v>
      </c>
      <c r="O149" s="113">
        <f>'Cash Flow Statement'!O42/'Cash Flow Statement'!J42-1</f>
        <v>-1.3929939543959231</v>
      </c>
      <c r="P149" s="113">
        <f>'Cash Flow Statement'!P42/'Cash Flow Statement'!K42-1</f>
        <v>-3.2861112224564781</v>
      </c>
      <c r="Q149" s="113">
        <f>'Cash Flow Statement'!Q42/'Cash Flow Statement'!L42-1</f>
        <v>-9.0611320404775264E-2</v>
      </c>
      <c r="R149" s="29">
        <f>'Cash Flow Statement'!R42/'Cash Flow Statement'!M42-1</f>
        <v>9.8708472513467491</v>
      </c>
      <c r="S149" s="113">
        <f>'Cash Flow Statement'!S42/'Cash Flow Statement'!N42-1</f>
        <v>-3.8365324363087483E-2</v>
      </c>
      <c r="T149" s="113">
        <f>'Cash Flow Statement'!T42/'Cash Flow Statement'!O42-1</f>
        <v>-1.3116209205862632</v>
      </c>
      <c r="U149" s="113">
        <f>'Cash Flow Statement'!U42/'Cash Flow Statement'!P42-1</f>
        <v>-0.37546890764488261</v>
      </c>
      <c r="V149" s="113"/>
      <c r="W149" s="138"/>
      <c r="X149" s="113"/>
      <c r="Y149" s="113"/>
      <c r="Z149" s="113"/>
      <c r="AA149" s="113"/>
      <c r="AB149" s="138"/>
      <c r="AC149" s="113"/>
      <c r="AD149" s="113"/>
      <c r="AE149" s="113"/>
      <c r="AF149" s="113"/>
      <c r="AG149" s="138"/>
      <c r="AH149" s="113"/>
      <c r="AI149" s="113"/>
      <c r="AJ149" s="113"/>
      <c r="AK149" s="113"/>
      <c r="AL149" s="29"/>
      <c r="AM149" s="113"/>
      <c r="AN149" s="113"/>
      <c r="AO149" s="113"/>
      <c r="AP149" s="113"/>
      <c r="AQ149" s="29"/>
      <c r="AR149" s="113"/>
      <c r="AS149" s="113"/>
      <c r="AT149" s="113"/>
      <c r="AU149" s="113"/>
      <c r="AV149" s="29"/>
    </row>
    <row r="150" spans="2:48" ht="17.399999999999999" x14ac:dyDescent="0.45">
      <c r="B150" s="388" t="s">
        <v>130</v>
      </c>
      <c r="C150" s="389"/>
      <c r="D150" s="14" t="s">
        <v>19</v>
      </c>
      <c r="E150" s="14" t="s">
        <v>81</v>
      </c>
      <c r="F150" s="14" t="s">
        <v>85</v>
      </c>
      <c r="G150" s="14" t="s">
        <v>95</v>
      </c>
      <c r="H150" s="40" t="s">
        <v>96</v>
      </c>
      <c r="I150" s="14" t="s">
        <v>97</v>
      </c>
      <c r="J150" s="14" t="s">
        <v>98</v>
      </c>
      <c r="K150" s="14" t="s">
        <v>99</v>
      </c>
      <c r="L150" s="14" t="s">
        <v>143</v>
      </c>
      <c r="M150" s="40" t="s">
        <v>144</v>
      </c>
      <c r="N150" s="14" t="s">
        <v>150</v>
      </c>
      <c r="O150" s="14" t="s">
        <v>158</v>
      </c>
      <c r="P150" s="14" t="s">
        <v>160</v>
      </c>
      <c r="Q150" s="14" t="s">
        <v>173</v>
      </c>
      <c r="R150" s="40" t="s">
        <v>174</v>
      </c>
      <c r="S150" s="14" t="s">
        <v>189</v>
      </c>
      <c r="T150" s="14" t="s">
        <v>190</v>
      </c>
      <c r="U150" s="14" t="s">
        <v>205</v>
      </c>
      <c r="V150" s="12" t="s">
        <v>25</v>
      </c>
      <c r="W150" s="267"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165</v>
      </c>
      <c r="AN150" s="12" t="s">
        <v>166</v>
      </c>
      <c r="AO150" s="12" t="s">
        <v>167</v>
      </c>
      <c r="AP150" s="12" t="s">
        <v>168</v>
      </c>
      <c r="AQ150" s="42" t="s">
        <v>169</v>
      </c>
      <c r="AR150" s="12" t="s">
        <v>196</v>
      </c>
      <c r="AS150" s="12" t="s">
        <v>197</v>
      </c>
      <c r="AT150" s="12" t="s">
        <v>198</v>
      </c>
      <c r="AU150" s="12" t="s">
        <v>199</v>
      </c>
      <c r="AV150" s="42" t="s">
        <v>200</v>
      </c>
    </row>
    <row r="151" spans="2:48" outlineLevel="1" x14ac:dyDescent="0.3">
      <c r="B151" s="392" t="s">
        <v>209</v>
      </c>
      <c r="C151" s="393"/>
      <c r="D151" s="27"/>
      <c r="E151" s="27">
        <f t="shared" ref="E151:G151" si="133">(E30+E155+E158+E161)/D30-1</f>
        <v>2.777764747303535E-2</v>
      </c>
      <c r="F151" s="27">
        <f t="shared" si="133"/>
        <v>-1.7269004124131682E-2</v>
      </c>
      <c r="G151" s="27">
        <f t="shared" si="133"/>
        <v>1.9258933156590885E-2</v>
      </c>
      <c r="H151" s="9"/>
      <c r="I151" s="27">
        <f>(I30+I155+I158+I161)/G30-1</f>
        <v>-1.436336111538794E-2</v>
      </c>
      <c r="J151" s="27">
        <f t="shared" ref="J151:L151" si="134">(J30+J155+J158+J161)/I30-1</f>
        <v>-1.1333810572689007E-3</v>
      </c>
      <c r="K151" s="27">
        <f t="shared" si="134"/>
        <v>-2.8161802355349819E-3</v>
      </c>
      <c r="L151" s="27">
        <f t="shared" si="134"/>
        <v>-9.5210569021197955E-4</v>
      </c>
      <c r="M151" s="9"/>
      <c r="N151" s="27">
        <f>(N30+N155+N158+N161)/L30-1</f>
        <v>6.5210015787404707E-3</v>
      </c>
      <c r="O151" s="27">
        <f t="shared" ref="O151:Q151" si="135">(O30+O155+O158+O161)/N30-1</f>
        <v>2.1276595744681437E-3</v>
      </c>
      <c r="P151" s="27">
        <f t="shared" si="135"/>
        <v>8.4925690021231404E-4</v>
      </c>
      <c r="Q151" s="27">
        <f t="shared" si="135"/>
        <v>8.4925690021231404E-4</v>
      </c>
      <c r="R151" s="9"/>
      <c r="S151" s="27">
        <f>(S30+S155+S158+S161)/Q30-1</f>
        <v>1.7994180128374726E-2</v>
      </c>
      <c r="T151" s="27">
        <f>(T30+T155+T158+T161)/S30-1</f>
        <v>-1.2989686217510177E-2</v>
      </c>
      <c r="U151" s="27">
        <f>(U30+U155+U158+U161)/T30-1</f>
        <v>-1.9143752175426743E-3</v>
      </c>
      <c r="V151" s="35"/>
      <c r="W151" s="268"/>
      <c r="X151" s="35"/>
      <c r="Y151" s="35"/>
      <c r="Z151" s="35"/>
      <c r="AA151" s="35"/>
      <c r="AB151" s="9"/>
      <c r="AC151" s="35"/>
      <c r="AD151" s="35"/>
      <c r="AE151" s="35"/>
      <c r="AF151" s="35"/>
      <c r="AG151" s="9"/>
      <c r="AH151" s="35"/>
      <c r="AI151" s="35"/>
      <c r="AJ151" s="35"/>
      <c r="AK151" s="35"/>
      <c r="AL151" s="9"/>
      <c r="AM151" s="35"/>
      <c r="AN151" s="35"/>
      <c r="AO151" s="35"/>
      <c r="AP151" s="35"/>
      <c r="AQ151" s="9"/>
      <c r="AR151" s="35"/>
      <c r="AS151" s="35"/>
      <c r="AT151" s="35"/>
      <c r="AU151" s="35"/>
      <c r="AV151" s="9"/>
    </row>
    <row r="152" spans="2:48" outlineLevel="1" x14ac:dyDescent="0.3">
      <c r="B152" s="392" t="s">
        <v>210</v>
      </c>
      <c r="C152" s="393"/>
      <c r="D152" s="27"/>
      <c r="E152" s="27">
        <f t="shared" ref="E152:G152" si="136">(E31+E155+E158+E161)/D31-1</f>
        <v>2.7604785512613583E-2</v>
      </c>
      <c r="F152" s="27">
        <f t="shared" si="136"/>
        <v>-1.6710442080933863E-2</v>
      </c>
      <c r="G152" s="27">
        <f t="shared" si="136"/>
        <v>1.9089589576967603E-2</v>
      </c>
      <c r="H152" s="9"/>
      <c r="I152" s="27">
        <f>(I31+I155+I158+I161)/G31-1</f>
        <v>-1.5386652077945762E-2</v>
      </c>
      <c r="J152" s="27">
        <f t="shared" ref="J152:L152" si="137">(J31+J155+J158+J161)/I31-1</f>
        <v>-2.5506658270361138E-3</v>
      </c>
      <c r="K152" s="27">
        <f t="shared" si="137"/>
        <v>-1.0332853392055585E-2</v>
      </c>
      <c r="L152" s="27">
        <f t="shared" si="137"/>
        <v>8.9858793324775199E-3</v>
      </c>
      <c r="M152" s="9"/>
      <c r="N152" s="27">
        <f>(N31+N155+N158+N161)/L31-1</f>
        <v>3.392705682782049E-3</v>
      </c>
      <c r="O152" s="27">
        <f t="shared" ref="O152:Q152" si="138">(O31+O155+O158+O161)/N31-1</f>
        <v>1.5215553677092597E-3</v>
      </c>
      <c r="P152" s="27">
        <f t="shared" si="138"/>
        <v>1.1816340310601969E-3</v>
      </c>
      <c r="Q152" s="27">
        <f t="shared" si="138"/>
        <v>1.4331478671387732E-3</v>
      </c>
      <c r="R152" s="9"/>
      <c r="S152" s="27">
        <f>(S31+S155+S158+S161)/Q31-1</f>
        <v>1.6689115245390962E-2</v>
      </c>
      <c r="T152" s="27">
        <f>(T31+T155+T158+T161)/S31-1</f>
        <v>-1.4867191058983376E-2</v>
      </c>
      <c r="U152" s="27">
        <f>(U31+U155+U158+U161)/T31-1</f>
        <v>-2.5132160499177214E-3</v>
      </c>
      <c r="V152" s="35"/>
      <c r="W152" s="268"/>
      <c r="X152" s="35"/>
      <c r="Y152" s="35"/>
      <c r="Z152" s="35"/>
      <c r="AA152" s="35"/>
      <c r="AB152" s="9"/>
      <c r="AC152" s="35"/>
      <c r="AD152" s="35"/>
      <c r="AE152" s="35"/>
      <c r="AF152" s="35"/>
      <c r="AG152" s="9"/>
      <c r="AH152" s="35"/>
      <c r="AI152" s="35"/>
      <c r="AJ152" s="35"/>
      <c r="AK152" s="35"/>
      <c r="AL152" s="9"/>
      <c r="AM152" s="35"/>
      <c r="AN152" s="35"/>
      <c r="AO152" s="35"/>
      <c r="AP152" s="35"/>
      <c r="AQ152" s="9"/>
      <c r="AR152" s="35"/>
      <c r="AS152" s="35"/>
      <c r="AT152" s="35"/>
      <c r="AU152" s="35"/>
      <c r="AV152" s="9"/>
    </row>
    <row r="153" spans="2:48" outlineLevel="1" x14ac:dyDescent="0.3">
      <c r="B153" s="418" t="s">
        <v>137</v>
      </c>
      <c r="C153" s="419"/>
      <c r="D153" s="256"/>
      <c r="E153" s="145">
        <v>69.922678056926543</v>
      </c>
      <c r="F153" s="145">
        <v>83.13076202744692</v>
      </c>
      <c r="G153" s="145">
        <v>92.52</v>
      </c>
      <c r="H153" s="257"/>
      <c r="I153" s="145">
        <v>85.23</v>
      </c>
      <c r="J153" s="145">
        <v>78.08</v>
      </c>
      <c r="K153" s="145">
        <v>0</v>
      </c>
      <c r="L153" s="145">
        <v>0</v>
      </c>
      <c r="M153" s="257"/>
      <c r="N153" s="145">
        <v>0</v>
      </c>
      <c r="O153" s="145">
        <v>0</v>
      </c>
      <c r="P153" s="145">
        <v>0</v>
      </c>
      <c r="Q153" s="145">
        <v>0</v>
      </c>
      <c r="R153" s="257"/>
      <c r="S153" s="145">
        <v>113.12</v>
      </c>
      <c r="T153" s="145">
        <v>94.51</v>
      </c>
      <c r="U153" s="145">
        <v>0</v>
      </c>
      <c r="V153" s="258"/>
      <c r="W153" s="269"/>
      <c r="X153" s="258"/>
      <c r="Y153" s="258"/>
      <c r="Z153" s="258"/>
      <c r="AA153" s="258"/>
      <c r="AB153" s="257"/>
      <c r="AC153" s="258"/>
      <c r="AD153" s="258"/>
      <c r="AE153" s="258"/>
      <c r="AF153" s="258"/>
      <c r="AG153" s="257"/>
      <c r="AH153" s="258"/>
      <c r="AI153" s="258"/>
      <c r="AJ153" s="258"/>
      <c r="AK153" s="258"/>
      <c r="AL153" s="257"/>
      <c r="AM153" s="258"/>
      <c r="AN153" s="258"/>
      <c r="AO153" s="258"/>
      <c r="AP153" s="258"/>
      <c r="AQ153" s="257"/>
      <c r="AR153" s="258"/>
      <c r="AS153" s="258"/>
      <c r="AT153" s="258"/>
      <c r="AU153" s="258"/>
      <c r="AV153" s="257"/>
    </row>
    <row r="154" spans="2:48" outlineLevel="1" x14ac:dyDescent="0.3">
      <c r="B154" s="392" t="s">
        <v>138</v>
      </c>
      <c r="C154" s="393"/>
      <c r="D154" s="16"/>
      <c r="E154" s="105">
        <v>713.2</v>
      </c>
      <c r="F154" s="105">
        <f>954.3-713.2</f>
        <v>241.09999999999991</v>
      </c>
      <c r="G154" s="101">
        <v>2177.1942404399997</v>
      </c>
      <c r="H154" s="17">
        <f>+SUM(D154:G154)</f>
        <v>3131.4942404399999</v>
      </c>
      <c r="I154" s="101">
        <v>1107.9389472300002</v>
      </c>
      <c r="J154" s="101">
        <v>567.02921856000012</v>
      </c>
      <c r="K154" s="101">
        <v>0</v>
      </c>
      <c r="L154" s="101">
        <v>0</v>
      </c>
      <c r="M154" s="17">
        <f>+SUM(I154:L154)</f>
        <v>1674.9681657900003</v>
      </c>
      <c r="N154" s="101">
        <v>0</v>
      </c>
      <c r="O154" s="101">
        <v>0</v>
      </c>
      <c r="P154" s="101">
        <v>0</v>
      </c>
      <c r="Q154" s="101">
        <v>0</v>
      </c>
      <c r="R154" s="17">
        <f>+SUM(N154:Q154)</f>
        <v>0</v>
      </c>
      <c r="S154" s="101">
        <f>S155*S153</f>
        <v>3520.86</v>
      </c>
      <c r="T154" s="101">
        <f>T155*T153</f>
        <v>492.13842613000003</v>
      </c>
      <c r="U154" s="101">
        <v>0</v>
      </c>
      <c r="V154" s="33"/>
      <c r="W154" s="170"/>
      <c r="X154" s="33"/>
      <c r="Y154" s="33"/>
      <c r="Z154" s="33"/>
      <c r="AA154" s="33"/>
      <c r="AB154" s="17"/>
      <c r="AC154" s="33"/>
      <c r="AD154" s="33"/>
      <c r="AE154" s="33"/>
      <c r="AF154" s="33"/>
      <c r="AG154" s="17"/>
      <c r="AH154" s="33"/>
      <c r="AI154" s="33"/>
      <c r="AJ154" s="33"/>
      <c r="AK154" s="33"/>
      <c r="AL154" s="17"/>
      <c r="AM154" s="33"/>
      <c r="AN154" s="33"/>
      <c r="AO154" s="33"/>
      <c r="AP154" s="33"/>
      <c r="AQ154" s="17"/>
      <c r="AR154" s="33"/>
      <c r="AS154" s="33"/>
      <c r="AT154" s="33"/>
      <c r="AU154" s="33"/>
      <c r="AV154" s="17"/>
    </row>
    <row r="155" spans="2:48" outlineLevel="1" x14ac:dyDescent="0.3">
      <c r="B155" s="392" t="s">
        <v>208</v>
      </c>
      <c r="C155" s="393"/>
      <c r="D155" s="140"/>
      <c r="E155" s="140">
        <f>IF((E154)&gt;0,(E154/E153),0)</f>
        <v>10.199838161509755</v>
      </c>
      <c r="F155" s="143">
        <f>IF((F154)&gt;0,(F154/F153),0)</f>
        <v>2.9002500893760241</v>
      </c>
      <c r="G155" s="143">
        <f>IF((G154)&gt;0,(G154/G153),0)</f>
        <v>23.532146999999998</v>
      </c>
      <c r="H155" s="49">
        <f>+SUM(D155:G155)</f>
        <v>36.632235250885778</v>
      </c>
      <c r="I155" s="140">
        <f>IF((I154)&gt;0,(I154/I153),0)</f>
        <v>12.999401000000001</v>
      </c>
      <c r="J155" s="143">
        <f>IF((J154)&gt;0,(J154/J153),0)</f>
        <v>7.262157000000002</v>
      </c>
      <c r="K155" s="140">
        <f>IF((K154)&gt;0,(K154/K153),0)</f>
        <v>0</v>
      </c>
      <c r="L155" s="140">
        <f>IF((L154)&gt;0,(L154/L153),0)</f>
        <v>0</v>
      </c>
      <c r="M155" s="49">
        <f>+SUM(I155:L155)</f>
        <v>20.261558000000001</v>
      </c>
      <c r="N155" s="140">
        <f>IF((N154)&gt;0,(N154/N153),0)</f>
        <v>0</v>
      </c>
      <c r="O155" s="140">
        <f>IF((O154)&gt;0,(O154/O153),0)</f>
        <v>0</v>
      </c>
      <c r="P155" s="140">
        <f>IF((P154)&gt;0,(P154/P153),0)</f>
        <v>0</v>
      </c>
      <c r="Q155" s="140">
        <f>IF((Q154)&gt;0,(Q154/Q153),0)</f>
        <v>0</v>
      </c>
      <c r="R155" s="49">
        <f>+SUM(N155:Q155)</f>
        <v>0</v>
      </c>
      <c r="S155" s="140">
        <v>31.125</v>
      </c>
      <c r="T155" s="143">
        <v>5.2072630000000002</v>
      </c>
      <c r="U155" s="143">
        <f>IF((U154)&gt;0,(U154/U153),0)</f>
        <v>0</v>
      </c>
      <c r="V155" s="140"/>
      <c r="W155" s="49"/>
      <c r="X155" s="140"/>
      <c r="Y155" s="140"/>
      <c r="Z155" s="140"/>
      <c r="AA155" s="140"/>
      <c r="AB155" s="49"/>
      <c r="AC155" s="140"/>
      <c r="AD155" s="140"/>
      <c r="AE155" s="140"/>
      <c r="AF155" s="140"/>
      <c r="AG155" s="49"/>
      <c r="AH155" s="140"/>
      <c r="AI155" s="140"/>
      <c r="AJ155" s="140"/>
      <c r="AK155" s="140"/>
      <c r="AL155" s="49"/>
      <c r="AM155" s="140"/>
      <c r="AN155" s="140"/>
      <c r="AO155" s="140"/>
      <c r="AP155" s="140"/>
      <c r="AQ155" s="49"/>
      <c r="AR155" s="140"/>
      <c r="AS155" s="140"/>
      <c r="AT155" s="140"/>
      <c r="AU155" s="140"/>
      <c r="AV155" s="49"/>
    </row>
    <row r="156" spans="2:48" outlineLevel="1" x14ac:dyDescent="0.3">
      <c r="B156" s="420" t="s">
        <v>131</v>
      </c>
      <c r="C156" s="421"/>
      <c r="D156" s="144">
        <v>55.58</v>
      </c>
      <c r="E156" s="145">
        <v>65.03</v>
      </c>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3">
      <c r="B157" s="416" t="s">
        <v>132</v>
      </c>
      <c r="C157" s="417"/>
      <c r="D157" s="146">
        <f>71.968334*55.58</f>
        <v>4000.0000037199998</v>
      </c>
      <c r="E157" s="147">
        <v>318.64700000000005</v>
      </c>
      <c r="F157" s="140"/>
      <c r="G157" s="140"/>
      <c r="H157" s="49"/>
      <c r="I157" s="140"/>
      <c r="J157" s="140"/>
      <c r="K157" s="140"/>
      <c r="L157" s="140"/>
      <c r="M157" s="49"/>
      <c r="N157" s="140"/>
      <c r="O157" s="140"/>
      <c r="P157" s="140"/>
      <c r="Q157" s="140"/>
      <c r="R157" s="49"/>
      <c r="S157" s="140"/>
      <c r="T157" s="140"/>
      <c r="U157" s="143"/>
      <c r="V157" s="140"/>
      <c r="W157" s="138"/>
      <c r="X157" s="140"/>
      <c r="Y157" s="140"/>
      <c r="Z157" s="140"/>
      <c r="AA157" s="140"/>
      <c r="AB157" s="49"/>
      <c r="AC157" s="140"/>
      <c r="AD157" s="140"/>
      <c r="AE157" s="140"/>
      <c r="AF157" s="140"/>
      <c r="AG157" s="49"/>
      <c r="AH157" s="140"/>
      <c r="AI157" s="140"/>
      <c r="AJ157" s="140"/>
      <c r="AK157" s="140"/>
      <c r="AL157" s="49"/>
      <c r="AM157" s="140"/>
      <c r="AN157" s="140"/>
      <c r="AO157" s="140"/>
      <c r="AP157" s="140"/>
      <c r="AQ157" s="49"/>
      <c r="AR157" s="140"/>
      <c r="AS157" s="140"/>
      <c r="AT157" s="140"/>
      <c r="AU157" s="140"/>
      <c r="AV157" s="49"/>
    </row>
    <row r="158" spans="2:48" outlineLevel="1" x14ac:dyDescent="0.3">
      <c r="B158" s="422" t="s">
        <v>133</v>
      </c>
      <c r="C158" s="423"/>
      <c r="D158" s="148">
        <f>IF((D157)&gt;0,(D157/D156),0)</f>
        <v>71.968333999999999</v>
      </c>
      <c r="E158" s="141">
        <f>IF((E157)&gt;0,(E157/E156),0)</f>
        <v>4.9000000000000004</v>
      </c>
      <c r="F158" s="141"/>
      <c r="G158" s="141"/>
      <c r="H158" s="142"/>
      <c r="I158" s="141"/>
      <c r="J158" s="141"/>
      <c r="K158" s="141"/>
      <c r="L158" s="141"/>
      <c r="M158" s="142"/>
      <c r="N158" s="141"/>
      <c r="O158" s="141"/>
      <c r="P158" s="141"/>
      <c r="Q158" s="141"/>
      <c r="R158" s="142"/>
      <c r="S158" s="141"/>
      <c r="T158" s="141"/>
      <c r="U158" s="141"/>
      <c r="V158" s="141"/>
      <c r="W158" s="209"/>
      <c r="X158" s="141"/>
      <c r="Y158" s="141"/>
      <c r="Z158" s="141"/>
      <c r="AA158" s="141"/>
      <c r="AB158" s="142"/>
      <c r="AC158" s="141"/>
      <c r="AD158" s="141"/>
      <c r="AE158" s="141"/>
      <c r="AF158" s="141"/>
      <c r="AG158" s="142"/>
      <c r="AH158" s="141"/>
      <c r="AI158" s="141"/>
      <c r="AJ158" s="141"/>
      <c r="AK158" s="141"/>
      <c r="AL158" s="142"/>
      <c r="AM158" s="141"/>
      <c r="AN158" s="141"/>
      <c r="AO158" s="141"/>
      <c r="AP158" s="141"/>
      <c r="AQ158" s="142"/>
      <c r="AR158" s="141"/>
      <c r="AS158" s="141"/>
      <c r="AT158" s="141"/>
      <c r="AU158" s="141"/>
      <c r="AV158" s="142"/>
    </row>
    <row r="159" spans="2:48" outlineLevel="1" x14ac:dyDescent="0.3">
      <c r="B159" s="210" t="s">
        <v>134</v>
      </c>
      <c r="C159" s="211"/>
      <c r="D159" s="140"/>
      <c r="E159" s="36">
        <v>71.959999999999994</v>
      </c>
      <c r="F159" s="36">
        <v>76.5</v>
      </c>
      <c r="G159" s="140"/>
      <c r="H159" s="49"/>
      <c r="I159" s="140"/>
      <c r="J159" s="140"/>
      <c r="K159" s="140"/>
      <c r="L159" s="140"/>
      <c r="M159" s="49"/>
      <c r="N159" s="140"/>
      <c r="O159" s="140"/>
      <c r="P159" s="140"/>
      <c r="Q159" s="140"/>
      <c r="R159" s="49"/>
      <c r="S159" s="140"/>
      <c r="T159" s="140"/>
      <c r="U159" s="140"/>
      <c r="V159" s="140"/>
      <c r="W159" s="49"/>
      <c r="X159" s="140"/>
      <c r="Y159" s="140"/>
      <c r="Z159" s="140"/>
      <c r="AA159" s="140"/>
      <c r="AB159" s="49"/>
      <c r="AC159" s="140"/>
      <c r="AD159" s="140"/>
      <c r="AE159" s="140"/>
      <c r="AF159" s="140"/>
      <c r="AG159" s="49"/>
      <c r="AH159" s="140"/>
      <c r="AI159" s="140"/>
      <c r="AJ159" s="140"/>
      <c r="AK159" s="140"/>
      <c r="AL159" s="49"/>
      <c r="AM159" s="140"/>
      <c r="AN159" s="140"/>
      <c r="AO159" s="140"/>
      <c r="AP159" s="140"/>
      <c r="AQ159" s="49"/>
      <c r="AR159" s="140"/>
      <c r="AS159" s="140"/>
      <c r="AT159" s="140"/>
      <c r="AU159" s="140"/>
      <c r="AV159" s="49"/>
    </row>
    <row r="160" spans="2:48" outlineLevel="1" x14ac:dyDescent="0.3">
      <c r="B160" s="210" t="s">
        <v>135</v>
      </c>
      <c r="C160" s="211"/>
      <c r="D160" s="140"/>
      <c r="E160" s="16">
        <v>1597.5119999999997</v>
      </c>
      <c r="F160" s="16">
        <v>298.35000000000002</v>
      </c>
      <c r="G160" s="140"/>
      <c r="H160" s="49"/>
      <c r="I160" s="140"/>
      <c r="J160" s="140"/>
      <c r="K160" s="140"/>
      <c r="L160" s="140"/>
      <c r="M160" s="49"/>
      <c r="N160" s="180"/>
      <c r="O160" s="140"/>
      <c r="P160" s="140"/>
      <c r="Q160" s="140"/>
      <c r="R160" s="49"/>
      <c r="S160" s="140"/>
      <c r="T160" s="140"/>
      <c r="U160" s="140"/>
      <c r="V160" s="140"/>
      <c r="W160" s="49"/>
      <c r="X160" s="140"/>
      <c r="Y160" s="140"/>
      <c r="Z160" s="140"/>
      <c r="AA160" s="140"/>
      <c r="AB160" s="49"/>
      <c r="AC160" s="140"/>
      <c r="AD160" s="140"/>
      <c r="AE160" s="140"/>
      <c r="AF160" s="140"/>
      <c r="AG160" s="49"/>
      <c r="AH160" s="140"/>
      <c r="AI160" s="140"/>
      <c r="AJ160" s="140"/>
      <c r="AK160" s="140"/>
      <c r="AL160" s="49"/>
      <c r="AM160" s="140"/>
      <c r="AN160" s="140"/>
      <c r="AO160" s="140"/>
      <c r="AP160" s="140"/>
      <c r="AQ160" s="49"/>
      <c r="AR160" s="140"/>
      <c r="AS160" s="140"/>
      <c r="AT160" s="140"/>
      <c r="AU160" s="140"/>
      <c r="AV160" s="49"/>
    </row>
    <row r="161" spans="2:48" outlineLevel="1" x14ac:dyDescent="0.3">
      <c r="B161" s="210" t="s">
        <v>136</v>
      </c>
      <c r="C161" s="211"/>
      <c r="D161" s="140"/>
      <c r="E161" s="140">
        <f>IF((E160)&gt;0,(E160/E159),0)</f>
        <v>22.2</v>
      </c>
      <c r="F161" s="140">
        <f>IF((F160)&gt;0,(F160/F159),0)</f>
        <v>3.9000000000000004</v>
      </c>
      <c r="G161" s="140"/>
      <c r="H161" s="49"/>
      <c r="I161" s="140"/>
      <c r="J161" s="140"/>
      <c r="K161" s="140"/>
      <c r="L161" s="140"/>
      <c r="M161" s="49"/>
      <c r="N161" s="140"/>
      <c r="O161" s="140"/>
      <c r="P161" s="140"/>
      <c r="Q161" s="140"/>
      <c r="R161" s="49"/>
      <c r="S161" s="140"/>
      <c r="T161" s="140"/>
      <c r="U161" s="140"/>
      <c r="V161" s="140"/>
      <c r="W161" s="49"/>
      <c r="X161" s="140"/>
      <c r="Y161" s="140"/>
      <c r="Z161" s="140"/>
      <c r="AA161" s="140"/>
      <c r="AB161" s="49"/>
      <c r="AC161" s="140"/>
      <c r="AD161" s="140"/>
      <c r="AE161" s="140"/>
      <c r="AF161" s="140"/>
      <c r="AG161" s="49"/>
      <c r="AH161" s="140"/>
      <c r="AI161" s="140"/>
      <c r="AJ161" s="140"/>
      <c r="AK161" s="140"/>
      <c r="AL161" s="49"/>
      <c r="AM161" s="140"/>
      <c r="AN161" s="140"/>
      <c r="AO161" s="140"/>
      <c r="AP161" s="140"/>
      <c r="AQ161" s="49"/>
      <c r="AR161" s="140"/>
      <c r="AS161" s="140"/>
      <c r="AT161" s="140"/>
      <c r="AU161" s="140"/>
      <c r="AV161" s="49"/>
    </row>
    <row r="162" spans="2:48" ht="17.399999999999999" x14ac:dyDescent="0.45">
      <c r="B162" s="388" t="s">
        <v>12</v>
      </c>
      <c r="C162" s="389"/>
      <c r="D162" s="14" t="s">
        <v>19</v>
      </c>
      <c r="E162" s="14" t="s">
        <v>81</v>
      </c>
      <c r="F162" s="14" t="s">
        <v>85</v>
      </c>
      <c r="G162" s="14" t="s">
        <v>95</v>
      </c>
      <c r="H162" s="40" t="s">
        <v>96</v>
      </c>
      <c r="I162" s="14" t="s">
        <v>97</v>
      </c>
      <c r="J162" s="14" t="s">
        <v>98</v>
      </c>
      <c r="K162" s="14" t="s">
        <v>99</v>
      </c>
      <c r="L162" s="14" t="s">
        <v>143</v>
      </c>
      <c r="M162" s="40" t="s">
        <v>144</v>
      </c>
      <c r="N162" s="14" t="s">
        <v>150</v>
      </c>
      <c r="O162" s="14" t="s">
        <v>158</v>
      </c>
      <c r="P162" s="14" t="s">
        <v>160</v>
      </c>
      <c r="Q162" s="14" t="s">
        <v>173</v>
      </c>
      <c r="R162" s="40" t="s">
        <v>174</v>
      </c>
      <c r="S162" s="14" t="s">
        <v>189</v>
      </c>
      <c r="T162" s="14" t="s">
        <v>190</v>
      </c>
      <c r="U162" s="14" t="s">
        <v>205</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165</v>
      </c>
      <c r="AN162" s="12" t="s">
        <v>166</v>
      </c>
      <c r="AO162" s="12" t="s">
        <v>167</v>
      </c>
      <c r="AP162" s="12" t="s">
        <v>168</v>
      </c>
      <c r="AQ162" s="42" t="s">
        <v>169</v>
      </c>
      <c r="AR162" s="12" t="s">
        <v>196</v>
      </c>
      <c r="AS162" s="12" t="s">
        <v>197</v>
      </c>
      <c r="AT162" s="12" t="s">
        <v>198</v>
      </c>
      <c r="AU162" s="12" t="s">
        <v>199</v>
      </c>
      <c r="AV162" s="42" t="s">
        <v>200</v>
      </c>
    </row>
    <row r="163" spans="2:48" outlineLevel="1" x14ac:dyDescent="0.3">
      <c r="B163" s="392" t="s">
        <v>65</v>
      </c>
      <c r="C163" s="393"/>
      <c r="D163" s="102">
        <f>-(22+5.3+0.6+20.9)</f>
        <v>-48.8</v>
      </c>
      <c r="E163" s="102">
        <v>-45.1</v>
      </c>
      <c r="F163" s="102">
        <v>-39.6</v>
      </c>
      <c r="G163" s="102">
        <f>-146.2+133.5</f>
        <v>-12.699999999999989</v>
      </c>
      <c r="H163" s="160">
        <f>SUM(D163:G163)</f>
        <v>-146.19999999999999</v>
      </c>
      <c r="I163" s="102">
        <v>-7.1</v>
      </c>
      <c r="J163" s="102">
        <v>0.1</v>
      </c>
      <c r="K163" s="105">
        <f>-K14</f>
        <v>-78.099999999999994</v>
      </c>
      <c r="L163" s="101">
        <v>-195.5</v>
      </c>
      <c r="M163" s="170"/>
      <c r="N163" s="101">
        <v>-72.2</v>
      </c>
      <c r="O163" s="101">
        <v>-23</v>
      </c>
      <c r="P163" s="101">
        <v>-19.8</v>
      </c>
      <c r="Q163" s="101">
        <v>-55.5</v>
      </c>
      <c r="R163" s="17"/>
      <c r="S163" s="16">
        <v>7.5</v>
      </c>
      <c r="T163" s="16">
        <v>-4.4000000000000004</v>
      </c>
      <c r="U163" s="16">
        <v>-14</v>
      </c>
      <c r="V163" s="33"/>
      <c r="W163" s="17"/>
      <c r="X163" s="33"/>
      <c r="Y163" s="33"/>
      <c r="Z163" s="33"/>
      <c r="AA163" s="33"/>
      <c r="AB163" s="17"/>
      <c r="AC163" s="33"/>
      <c r="AD163" s="33"/>
      <c r="AE163" s="33"/>
      <c r="AF163" s="33"/>
      <c r="AG163" s="17"/>
      <c r="AH163" s="33"/>
      <c r="AI163" s="33"/>
      <c r="AJ163" s="33"/>
      <c r="AK163" s="33"/>
      <c r="AL163" s="17"/>
      <c r="AM163" s="33"/>
      <c r="AN163" s="33"/>
      <c r="AO163" s="33"/>
      <c r="AP163" s="33"/>
      <c r="AQ163" s="17"/>
      <c r="AR163" s="33"/>
      <c r="AS163" s="33"/>
      <c r="AT163" s="33"/>
      <c r="AU163" s="33"/>
      <c r="AV163" s="17"/>
    </row>
    <row r="164" spans="2:48" outlineLevel="1" x14ac:dyDescent="0.3">
      <c r="B164" s="210" t="s">
        <v>64</v>
      </c>
      <c r="C164" s="211"/>
      <c r="D164" s="102">
        <f>-(5.3+0.5)</f>
        <v>-5.8</v>
      </c>
      <c r="E164" s="102">
        <v>-4.3</v>
      </c>
      <c r="F164" s="102">
        <v>-2.2999999999999998</v>
      </c>
      <c r="G164" s="102">
        <v>-0.2</v>
      </c>
      <c r="H164" s="160">
        <f t="shared" ref="H164:H167" si="139">SUM(D164:G164)</f>
        <v>-12.599999999999998</v>
      </c>
      <c r="I164" s="102">
        <v>-5.6</v>
      </c>
      <c r="J164" s="102">
        <v>-6.8</v>
      </c>
      <c r="K164" s="105">
        <v>-35.04</v>
      </c>
      <c r="L164" s="101">
        <v>0</v>
      </c>
      <c r="M164" s="170"/>
      <c r="N164" s="101">
        <v>0</v>
      </c>
      <c r="O164" s="101">
        <v>0</v>
      </c>
      <c r="P164" s="101">
        <v>22.8</v>
      </c>
      <c r="Q164" s="101">
        <v>-0.1</v>
      </c>
      <c r="R164" s="17"/>
      <c r="S164" s="16"/>
      <c r="T164" s="16"/>
      <c r="U164" s="16"/>
      <c r="V164" s="33"/>
      <c r="W164" s="17"/>
      <c r="X164" s="33"/>
      <c r="Y164" s="33"/>
      <c r="Z164" s="33"/>
      <c r="AA164" s="33"/>
      <c r="AB164" s="17"/>
      <c r="AC164" s="33"/>
      <c r="AD164" s="33"/>
      <c r="AE164" s="33"/>
      <c r="AF164" s="33"/>
      <c r="AG164" s="17"/>
      <c r="AH164" s="33"/>
      <c r="AI164" s="33"/>
      <c r="AJ164" s="33"/>
      <c r="AK164" s="33"/>
      <c r="AL164" s="17"/>
      <c r="AM164" s="33"/>
      <c r="AN164" s="33"/>
      <c r="AO164" s="33"/>
      <c r="AP164" s="33"/>
      <c r="AQ164" s="17"/>
      <c r="AR164" s="33"/>
      <c r="AS164" s="33"/>
      <c r="AT164" s="33"/>
      <c r="AU164" s="33"/>
      <c r="AV164" s="17"/>
    </row>
    <row r="165" spans="2:48" outlineLevel="1" x14ac:dyDescent="0.3">
      <c r="B165" s="392" t="s">
        <v>129</v>
      </c>
      <c r="C165" s="393"/>
      <c r="D165" s="102">
        <f>-(60.6-0.3)</f>
        <v>-60.300000000000004</v>
      </c>
      <c r="E165" s="102">
        <v>-68.2</v>
      </c>
      <c r="F165" s="102">
        <v>-69</v>
      </c>
      <c r="G165" s="102">
        <f>-262+197.5</f>
        <v>-64.5</v>
      </c>
      <c r="H165" s="160">
        <f>SUM(D165:G165)</f>
        <v>-262</v>
      </c>
      <c r="I165" s="102">
        <v>-58.9</v>
      </c>
      <c r="J165" s="102">
        <v>-60.1</v>
      </c>
      <c r="K165" s="105">
        <v>-60.54</v>
      </c>
      <c r="L165" s="101">
        <v>-64</v>
      </c>
      <c r="M165" s="170"/>
      <c r="N165" s="101">
        <v>-62.7</v>
      </c>
      <c r="O165" s="101">
        <v>-65.2</v>
      </c>
      <c r="P165" s="101">
        <v>-54.7</v>
      </c>
      <c r="Q165" s="101">
        <v>-59.6</v>
      </c>
      <c r="R165" s="17"/>
      <c r="S165" s="16">
        <f>0.1-42.8</f>
        <v>-42.699999999999996</v>
      </c>
      <c r="T165" s="16">
        <v>-43.1</v>
      </c>
      <c r="U165" s="16">
        <v>-63.5</v>
      </c>
      <c r="V165" s="33"/>
      <c r="W165" s="17"/>
      <c r="X165" s="33"/>
      <c r="Y165" s="33"/>
      <c r="Z165" s="33"/>
      <c r="AA165" s="33"/>
      <c r="AB165" s="17"/>
      <c r="AC165" s="33"/>
      <c r="AD165" s="33"/>
      <c r="AE165" s="33"/>
      <c r="AF165" s="33"/>
      <c r="AG165" s="17"/>
      <c r="AH165" s="33"/>
      <c r="AI165" s="33"/>
      <c r="AJ165" s="33"/>
      <c r="AK165" s="33"/>
      <c r="AL165" s="17"/>
      <c r="AM165" s="33"/>
      <c r="AN165" s="33"/>
      <c r="AO165" s="33"/>
      <c r="AP165" s="33"/>
      <c r="AQ165" s="17"/>
      <c r="AR165" s="33"/>
      <c r="AS165" s="33"/>
      <c r="AT165" s="33"/>
      <c r="AU165" s="33"/>
      <c r="AV165" s="17"/>
    </row>
    <row r="166" spans="2:48" outlineLevel="1" x14ac:dyDescent="0.3">
      <c r="B166" s="210" t="s">
        <v>66</v>
      </c>
      <c r="C166" s="211"/>
      <c r="D166" s="102">
        <v>-23.1</v>
      </c>
      <c r="E166" s="102">
        <v>-23.8</v>
      </c>
      <c r="F166" s="102">
        <v>-14.4</v>
      </c>
      <c r="G166" s="102">
        <v>0</v>
      </c>
      <c r="H166" s="160">
        <f t="shared" si="139"/>
        <v>-61.300000000000004</v>
      </c>
      <c r="I166" s="102"/>
      <c r="J166" s="102"/>
      <c r="K166" s="101"/>
      <c r="L166" s="101"/>
      <c r="M166" s="170"/>
      <c r="N166" s="101"/>
      <c r="O166" s="101"/>
      <c r="P166" s="101"/>
      <c r="Q166" s="101"/>
      <c r="R166" s="17"/>
      <c r="S166" s="16"/>
      <c r="T166" s="16"/>
      <c r="U166" s="16"/>
      <c r="V166" s="33"/>
      <c r="W166" s="17"/>
      <c r="X166" s="33"/>
      <c r="Y166" s="33"/>
      <c r="Z166" s="33"/>
      <c r="AA166" s="33"/>
      <c r="AB166" s="17"/>
      <c r="AC166" s="33"/>
      <c r="AD166" s="33"/>
      <c r="AE166" s="33"/>
      <c r="AF166" s="33"/>
      <c r="AG166" s="17"/>
      <c r="AH166" s="33"/>
      <c r="AI166" s="33"/>
      <c r="AJ166" s="33"/>
      <c r="AK166" s="33"/>
      <c r="AL166" s="17"/>
      <c r="AM166" s="33"/>
      <c r="AN166" s="33"/>
      <c r="AO166" s="33"/>
      <c r="AP166" s="33"/>
      <c r="AQ166" s="17"/>
      <c r="AR166" s="33"/>
      <c r="AS166" s="33"/>
      <c r="AT166" s="33"/>
      <c r="AU166" s="33"/>
      <c r="AV166" s="17"/>
    </row>
    <row r="167" spans="2:48" ht="16.2" outlineLevel="1" x14ac:dyDescent="0.45">
      <c r="B167" s="210" t="s">
        <v>80</v>
      </c>
      <c r="C167" s="211"/>
      <c r="D167" s="139">
        <v>0</v>
      </c>
      <c r="E167" s="139">
        <v>0</v>
      </c>
      <c r="F167" s="139">
        <v>0</v>
      </c>
      <c r="G167" s="139">
        <v>0</v>
      </c>
      <c r="H167" s="161">
        <f t="shared" si="139"/>
        <v>0</v>
      </c>
      <c r="I167" s="139">
        <v>0</v>
      </c>
      <c r="J167" s="139">
        <v>0</v>
      </c>
      <c r="K167" s="112">
        <v>0</v>
      </c>
      <c r="L167" s="112">
        <v>0</v>
      </c>
      <c r="M167" s="170"/>
      <c r="N167" s="112">
        <v>0</v>
      </c>
      <c r="O167" s="112">
        <v>0</v>
      </c>
      <c r="P167" s="112">
        <v>0</v>
      </c>
      <c r="Q167" s="112">
        <v>0</v>
      </c>
      <c r="R167" s="17"/>
      <c r="S167" s="112">
        <v>0</v>
      </c>
      <c r="T167" s="112">
        <v>0</v>
      </c>
      <c r="U167" s="112">
        <v>0</v>
      </c>
      <c r="V167" s="32"/>
      <c r="W167" s="17"/>
      <c r="X167" s="32"/>
      <c r="Y167" s="32"/>
      <c r="Z167" s="32"/>
      <c r="AA167" s="32"/>
      <c r="AB167" s="17"/>
      <c r="AC167" s="32"/>
      <c r="AD167" s="32"/>
      <c r="AE167" s="32"/>
      <c r="AF167" s="32"/>
      <c r="AG167" s="17"/>
      <c r="AH167" s="32"/>
      <c r="AI167" s="32"/>
      <c r="AJ167" s="32"/>
      <c r="AK167" s="32"/>
      <c r="AL167" s="17"/>
      <c r="AM167" s="32"/>
      <c r="AN167" s="32"/>
      <c r="AO167" s="32"/>
      <c r="AP167" s="32"/>
      <c r="AQ167" s="17"/>
      <c r="AR167" s="32"/>
      <c r="AS167" s="32"/>
      <c r="AT167" s="32"/>
      <c r="AU167" s="32"/>
      <c r="AV167" s="17"/>
    </row>
    <row r="168" spans="2:48" s="8" customFormat="1" outlineLevel="1" x14ac:dyDescent="0.3">
      <c r="B168" s="215" t="s">
        <v>67</v>
      </c>
      <c r="C168" s="212"/>
      <c r="D168" s="103">
        <f t="shared" ref="D168:L168" si="140">SUM(D163:D167)</f>
        <v>-138</v>
      </c>
      <c r="E168" s="103">
        <f t="shared" si="140"/>
        <v>-141.4</v>
      </c>
      <c r="F168" s="103">
        <f t="shared" si="140"/>
        <v>-125.30000000000001</v>
      </c>
      <c r="G168" s="103">
        <f t="shared" si="140"/>
        <v>-77.399999999999991</v>
      </c>
      <c r="H168" s="172">
        <f t="shared" si="140"/>
        <v>-482.09999999999997</v>
      </c>
      <c r="I168" s="103">
        <f t="shared" si="140"/>
        <v>-71.599999999999994</v>
      </c>
      <c r="J168" s="103">
        <f t="shared" si="140"/>
        <v>-66.8</v>
      </c>
      <c r="K168" s="103">
        <f t="shared" si="140"/>
        <v>-173.67999999999998</v>
      </c>
      <c r="L168" s="103">
        <f t="shared" si="140"/>
        <v>-259.5</v>
      </c>
      <c r="M168" s="151"/>
      <c r="N168" s="103">
        <f>SUM(N163:N167)</f>
        <v>-134.9</v>
      </c>
      <c r="O168" s="103">
        <f>SUM(O163:O167)</f>
        <v>-88.2</v>
      </c>
      <c r="P168" s="103">
        <f>SUM(P163:P167)</f>
        <v>-51.7</v>
      </c>
      <c r="Q168" s="103">
        <f>SUM(Q163:Q167)</f>
        <v>-115.2</v>
      </c>
      <c r="R168" s="22"/>
      <c r="S168" s="103">
        <f>SUM(S163:S167)</f>
        <v>-35.199999999999996</v>
      </c>
      <c r="T168" s="50">
        <f>SUM(T163:T167)</f>
        <v>-47.5</v>
      </c>
      <c r="U168" s="50">
        <f>SUM(U163:U167)</f>
        <v>-77.5</v>
      </c>
      <c r="V168" s="50"/>
      <c r="W168" s="22"/>
      <c r="X168" s="50"/>
      <c r="Y168" s="50"/>
      <c r="Z168" s="50"/>
      <c r="AA168" s="50"/>
      <c r="AB168" s="22"/>
      <c r="AC168" s="50"/>
      <c r="AD168" s="50"/>
      <c r="AE168" s="50"/>
      <c r="AF168" s="50"/>
      <c r="AG168" s="22"/>
      <c r="AH168" s="50"/>
      <c r="AI168" s="50"/>
      <c r="AJ168" s="50"/>
      <c r="AK168" s="50"/>
      <c r="AL168" s="22"/>
      <c r="AM168" s="50"/>
      <c r="AN168" s="50"/>
      <c r="AO168" s="50"/>
      <c r="AP168" s="50"/>
      <c r="AQ168" s="22"/>
      <c r="AR168" s="50"/>
      <c r="AS168" s="50"/>
      <c r="AT168" s="50"/>
      <c r="AU168" s="50"/>
      <c r="AV168" s="22"/>
    </row>
    <row r="169" spans="2:48" ht="16.2" outlineLevel="1" x14ac:dyDescent="0.45">
      <c r="B169" s="210" t="s">
        <v>156</v>
      </c>
      <c r="C169" s="211"/>
      <c r="D169" s="104">
        <v>0</v>
      </c>
      <c r="E169" s="104">
        <v>0</v>
      </c>
      <c r="F169" s="104">
        <v>0</v>
      </c>
      <c r="G169" s="104">
        <v>0</v>
      </c>
      <c r="H169" s="170"/>
      <c r="I169" s="104">
        <v>0</v>
      </c>
      <c r="J169" s="104">
        <v>0</v>
      </c>
      <c r="K169" s="104">
        <v>0</v>
      </c>
      <c r="L169" s="104">
        <v>0</v>
      </c>
      <c r="M169" s="170"/>
      <c r="N169" s="104">
        <v>0</v>
      </c>
      <c r="O169" s="104">
        <v>0</v>
      </c>
      <c r="P169" s="104">
        <v>0</v>
      </c>
      <c r="Q169" s="104">
        <v>0</v>
      </c>
      <c r="R169" s="17"/>
      <c r="S169" s="104">
        <v>0</v>
      </c>
      <c r="T169" s="52">
        <v>0</v>
      </c>
      <c r="U169" s="52">
        <v>0</v>
      </c>
      <c r="V169" s="52"/>
      <c r="W169" s="17"/>
      <c r="X169" s="52"/>
      <c r="Y169" s="52"/>
      <c r="Z169" s="52"/>
      <c r="AA169" s="52"/>
      <c r="AB169" s="17"/>
      <c r="AC169" s="52"/>
      <c r="AD169" s="52"/>
      <c r="AE169" s="52"/>
      <c r="AF169" s="52"/>
      <c r="AG169" s="17"/>
      <c r="AH169" s="52"/>
      <c r="AI169" s="52"/>
      <c r="AJ169" s="52"/>
      <c r="AK169" s="52"/>
      <c r="AL169" s="17"/>
      <c r="AM169" s="52"/>
      <c r="AN169" s="52"/>
      <c r="AO169" s="52"/>
      <c r="AP169" s="52"/>
      <c r="AQ169" s="17"/>
      <c r="AR169" s="52"/>
      <c r="AS169" s="52"/>
      <c r="AT169" s="52"/>
      <c r="AU169" s="52"/>
      <c r="AV169" s="17"/>
    </row>
    <row r="170" spans="2:48" s="8" customFormat="1" outlineLevel="1" x14ac:dyDescent="0.3">
      <c r="B170" s="215" t="s">
        <v>68</v>
      </c>
      <c r="C170" s="212"/>
      <c r="D170" s="103">
        <f t="shared" ref="D170:G170" si="141">-D168+D169</f>
        <v>138</v>
      </c>
      <c r="E170" s="103">
        <f t="shared" si="141"/>
        <v>141.4</v>
      </c>
      <c r="F170" s="103">
        <f t="shared" si="141"/>
        <v>125.30000000000001</v>
      </c>
      <c r="G170" s="103">
        <f t="shared" si="141"/>
        <v>77.399999999999991</v>
      </c>
      <c r="H170" s="151"/>
      <c r="I170" s="103">
        <f t="shared" ref="I170:L170" si="142">-I168+I169</f>
        <v>71.599999999999994</v>
      </c>
      <c r="J170" s="103">
        <f t="shared" si="142"/>
        <v>66.8</v>
      </c>
      <c r="K170" s="103">
        <f t="shared" si="142"/>
        <v>173.67999999999998</v>
      </c>
      <c r="L170" s="103">
        <f t="shared" si="142"/>
        <v>259.5</v>
      </c>
      <c r="M170" s="151"/>
      <c r="N170" s="103">
        <f t="shared" ref="N170:P170" si="143">-N168+N169</f>
        <v>134.9</v>
      </c>
      <c r="O170" s="103">
        <f t="shared" si="143"/>
        <v>88.2</v>
      </c>
      <c r="P170" s="103">
        <f t="shared" si="143"/>
        <v>51.7</v>
      </c>
      <c r="Q170" s="103">
        <f>-Q168+Q169</f>
        <v>115.2</v>
      </c>
      <c r="R170" s="22"/>
      <c r="S170" s="103">
        <f t="shared" ref="S170:V170" si="144">-S168+S169</f>
        <v>35.199999999999996</v>
      </c>
      <c r="T170" s="50">
        <f t="shared" si="144"/>
        <v>47.5</v>
      </c>
      <c r="U170" s="50">
        <f t="shared" si="144"/>
        <v>77.5</v>
      </c>
      <c r="V170" s="50"/>
      <c r="W170" s="22"/>
      <c r="X170" s="50"/>
      <c r="Y170" s="50"/>
      <c r="Z170" s="50"/>
      <c r="AA170" s="50"/>
      <c r="AB170" s="22"/>
      <c r="AC170" s="50"/>
      <c r="AD170" s="50"/>
      <c r="AE170" s="50"/>
      <c r="AF170" s="50"/>
      <c r="AG170" s="22"/>
      <c r="AH170" s="50"/>
      <c r="AI170" s="50"/>
      <c r="AJ170" s="50"/>
      <c r="AK170" s="50"/>
      <c r="AL170" s="22"/>
      <c r="AM170" s="50"/>
      <c r="AN170" s="50"/>
      <c r="AO170" s="50"/>
      <c r="AP170" s="50"/>
      <c r="AQ170" s="22"/>
      <c r="AR170" s="50"/>
      <c r="AS170" s="50"/>
      <c r="AT170" s="50"/>
      <c r="AU170" s="50"/>
      <c r="AV170" s="22"/>
    </row>
    <row r="171" spans="2:48" outlineLevel="1" x14ac:dyDescent="0.3">
      <c r="B171" s="210" t="s">
        <v>69</v>
      </c>
      <c r="C171" s="211"/>
      <c r="D171" s="105">
        <v>0</v>
      </c>
      <c r="E171" s="101">
        <f>-0.02*E31</f>
        <v>-25.014000000000003</v>
      </c>
      <c r="F171" s="101">
        <f>0.49*F31</f>
        <v>599.27</v>
      </c>
      <c r="G171" s="101">
        <v>0</v>
      </c>
      <c r="H171" s="170"/>
      <c r="I171" s="101">
        <v>0</v>
      </c>
      <c r="J171" s="101">
        <v>0</v>
      </c>
      <c r="K171" s="101">
        <v>0</v>
      </c>
      <c r="L171" s="101">
        <v>0</v>
      </c>
      <c r="M171" s="170"/>
      <c r="N171" s="101">
        <v>0</v>
      </c>
      <c r="O171" s="101">
        <v>0</v>
      </c>
      <c r="P171" s="101">
        <v>0</v>
      </c>
      <c r="Q171" s="101">
        <f>0.73*Q31</f>
        <v>867.16700000000003</v>
      </c>
      <c r="R171" s="17"/>
      <c r="S171" s="101">
        <v>0</v>
      </c>
      <c r="T171" s="101">
        <f>0.03*T31</f>
        <v>34.617000000000004</v>
      </c>
      <c r="U171" s="101">
        <v>0</v>
      </c>
      <c r="V171" s="33"/>
      <c r="W171" s="17"/>
      <c r="X171" s="33"/>
      <c r="Y171" s="33"/>
      <c r="Z171" s="33"/>
      <c r="AA171" s="33"/>
      <c r="AB171" s="17"/>
      <c r="AC171" s="33"/>
      <c r="AD171" s="33"/>
      <c r="AE171" s="33"/>
      <c r="AF171" s="33"/>
      <c r="AG171" s="17"/>
      <c r="AH171" s="33"/>
      <c r="AI171" s="33"/>
      <c r="AJ171" s="33"/>
      <c r="AK171" s="33"/>
      <c r="AL171" s="17"/>
      <c r="AM171" s="33"/>
      <c r="AN171" s="33"/>
      <c r="AO171" s="33"/>
      <c r="AP171" s="33"/>
      <c r="AQ171" s="17"/>
      <c r="AR171" s="33"/>
      <c r="AS171" s="33"/>
      <c r="AT171" s="33"/>
      <c r="AU171" s="33"/>
      <c r="AV171" s="17"/>
    </row>
    <row r="172" spans="2:48" outlineLevel="1" x14ac:dyDescent="0.3">
      <c r="B172" s="392" t="s">
        <v>75</v>
      </c>
      <c r="C172" s="393"/>
      <c r="D172" s="105">
        <v>-41.449999999998646</v>
      </c>
      <c r="E172" s="101">
        <v>79.193999999999548</v>
      </c>
      <c r="F172" s="101">
        <v>-55.109999999999197</v>
      </c>
      <c r="G172" s="101">
        <v>30</v>
      </c>
      <c r="H172" s="170"/>
      <c r="I172" s="101">
        <v>11</v>
      </c>
      <c r="J172" s="101">
        <v>23</v>
      </c>
      <c r="K172" s="101">
        <f>0.03*K31</f>
        <v>35.055</v>
      </c>
      <c r="L172" s="101">
        <v>50.810000000000372</v>
      </c>
      <c r="M172" s="170"/>
      <c r="N172" s="101">
        <f>0.03*N31</f>
        <v>35.49</v>
      </c>
      <c r="O172" s="101">
        <f>0.01*O31</f>
        <v>11.847999999999999</v>
      </c>
      <c r="P172" s="101">
        <f>0.01*P31</f>
        <v>11.862</v>
      </c>
      <c r="Q172" s="101">
        <f>-0.144*Q31</f>
        <v>-171.05760000000001</v>
      </c>
      <c r="R172" s="17"/>
      <c r="S172" s="101">
        <v>3.9480000000003299</v>
      </c>
      <c r="T172" s="16">
        <f>0.01*T31</f>
        <v>11.539000000000001</v>
      </c>
      <c r="U172" s="16">
        <f>0.02*U31</f>
        <v>23.02</v>
      </c>
      <c r="V172" s="16"/>
      <c r="W172" s="17"/>
      <c r="X172" s="16"/>
      <c r="Y172" s="16"/>
      <c r="Z172" s="16"/>
      <c r="AA172" s="16"/>
      <c r="AB172" s="17"/>
      <c r="AC172" s="16"/>
      <c r="AD172" s="16"/>
      <c r="AE172" s="16"/>
      <c r="AF172" s="16"/>
      <c r="AG172" s="17"/>
      <c r="AH172" s="16"/>
      <c r="AI172" s="16"/>
      <c r="AJ172" s="16"/>
      <c r="AK172" s="16"/>
      <c r="AL172" s="17"/>
      <c r="AM172" s="16"/>
      <c r="AN172" s="16"/>
      <c r="AO172" s="16"/>
      <c r="AP172" s="16"/>
      <c r="AQ172" s="17"/>
      <c r="AR172" s="16"/>
      <c r="AS172" s="16"/>
      <c r="AT172" s="16"/>
      <c r="AU172" s="16"/>
      <c r="AV172" s="17"/>
    </row>
    <row r="173" spans="2:48" outlineLevel="1" x14ac:dyDescent="0.3">
      <c r="B173" s="213" t="s">
        <v>76</v>
      </c>
      <c r="C173" s="214"/>
      <c r="D173" s="221">
        <f t="shared" ref="D173:G173" si="145">D172/D170</f>
        <v>-0.30036231884056991</v>
      </c>
      <c r="E173" s="221">
        <f t="shared" si="145"/>
        <v>0.56007072135784686</v>
      </c>
      <c r="F173" s="221">
        <f t="shared" si="145"/>
        <v>-0.43982442138866074</v>
      </c>
      <c r="G173" s="221">
        <f t="shared" si="145"/>
        <v>0.38759689922480622</v>
      </c>
      <c r="H173" s="222"/>
      <c r="I173" s="221">
        <f t="shared" ref="I173:U173" si="146">I172/I170</f>
        <v>0.15363128491620112</v>
      </c>
      <c r="J173" s="221">
        <f t="shared" si="146"/>
        <v>0.34431137724550898</v>
      </c>
      <c r="K173" s="221">
        <f t="shared" si="146"/>
        <v>0.20183671119299865</v>
      </c>
      <c r="L173" s="221">
        <f t="shared" si="146"/>
        <v>0.1957996146435467</v>
      </c>
      <c r="M173" s="222"/>
      <c r="N173" s="221">
        <f t="shared" si="146"/>
        <v>0.26308376575240922</v>
      </c>
      <c r="O173" s="221">
        <f t="shared" si="146"/>
        <v>0.13433106575963719</v>
      </c>
      <c r="P173" s="221">
        <f t="shared" si="146"/>
        <v>0.22943907156673113</v>
      </c>
      <c r="Q173" s="221">
        <f t="shared" si="146"/>
        <v>-1.4848749999999999</v>
      </c>
      <c r="R173" s="37"/>
      <c r="S173" s="221">
        <f t="shared" si="146"/>
        <v>0.1121590909091003</v>
      </c>
      <c r="T173" s="221">
        <f t="shared" si="146"/>
        <v>0.24292631578947371</v>
      </c>
      <c r="U173" s="221">
        <f t="shared" si="146"/>
        <v>0.29703225806451611</v>
      </c>
      <c r="V173" s="94"/>
      <c r="W173" s="37"/>
      <c r="X173" s="94"/>
      <c r="Y173" s="94"/>
      <c r="Z173" s="94"/>
      <c r="AA173" s="94"/>
      <c r="AB173" s="37"/>
      <c r="AC173" s="94"/>
      <c r="AD173" s="94"/>
      <c r="AE173" s="94"/>
      <c r="AF173" s="94"/>
      <c r="AG173" s="37"/>
      <c r="AH173" s="94"/>
      <c r="AI173" s="94"/>
      <c r="AJ173" s="94"/>
      <c r="AK173" s="94"/>
      <c r="AL173" s="37"/>
      <c r="AM173" s="94"/>
      <c r="AN173" s="94"/>
      <c r="AO173" s="94"/>
      <c r="AP173" s="94"/>
      <c r="AQ173" s="37"/>
      <c r="AR173" s="94"/>
      <c r="AS173" s="94"/>
      <c r="AT173" s="94"/>
      <c r="AU173" s="94"/>
      <c r="AV173" s="37"/>
    </row>
    <row r="176" spans="2:48" ht="14.55" customHeight="1" x14ac:dyDescent="0.3"/>
    <row r="177" spans="1:1" ht="14.55" customHeight="1" x14ac:dyDescent="0.3"/>
    <row r="178" spans="1:1" ht="14.55" customHeight="1" x14ac:dyDescent="0.3">
      <c r="A178" s="162"/>
    </row>
    <row r="179" spans="1:1" s="23" customFormat="1" ht="14.55" customHeight="1" x14ac:dyDescent="0.3">
      <c r="A179" s="162"/>
    </row>
    <row r="180" spans="1:1" s="23" customFormat="1" ht="14.55" customHeight="1" x14ac:dyDescent="0.3">
      <c r="A180" s="162"/>
    </row>
    <row r="181" spans="1:1" ht="16.2" customHeight="1" x14ac:dyDescent="0.3">
      <c r="A181" s="162"/>
    </row>
    <row r="182" spans="1:1" ht="14.55" customHeight="1" x14ac:dyDescent="0.3">
      <c r="A182" s="162"/>
    </row>
    <row r="183" spans="1:1" ht="14.55" customHeight="1" x14ac:dyDescent="0.3">
      <c r="A183" s="162"/>
    </row>
    <row r="184" spans="1:1" ht="14.55" customHeight="1" x14ac:dyDescent="0.3">
      <c r="A184" s="162"/>
    </row>
    <row r="185" spans="1:1" s="8" customFormat="1" x14ac:dyDescent="0.3">
      <c r="A185" s="162"/>
    </row>
    <row r="186" spans="1:1" s="8" customFormat="1" x14ac:dyDescent="0.3">
      <c r="A186" s="162"/>
    </row>
    <row r="187" spans="1:1" s="8" customFormat="1" x14ac:dyDescent="0.3">
      <c r="A187" s="162"/>
    </row>
    <row r="188" spans="1:1" s="8" customFormat="1" x14ac:dyDescent="0.3">
      <c r="A188" s="162"/>
    </row>
    <row r="189" spans="1:1" s="8" customFormat="1" x14ac:dyDescent="0.3">
      <c r="A189" s="162"/>
    </row>
    <row r="190" spans="1:1" x14ac:dyDescent="0.3">
      <c r="A190" s="162"/>
    </row>
    <row r="191" spans="1:1" x14ac:dyDescent="0.3">
      <c r="A191" s="162"/>
    </row>
    <row r="192" spans="1:1" x14ac:dyDescent="0.3">
      <c r="A192" s="162"/>
    </row>
    <row r="193" spans="1:1" s="23" customFormat="1" x14ac:dyDescent="0.3">
      <c r="A193" s="162"/>
    </row>
    <row r="194" spans="1:1" x14ac:dyDescent="0.3">
      <c r="A194" s="162"/>
    </row>
    <row r="195" spans="1:1" x14ac:dyDescent="0.3">
      <c r="A195" s="162"/>
    </row>
    <row r="196" spans="1:1" x14ac:dyDescent="0.3">
      <c r="A196" s="162"/>
    </row>
    <row r="197" spans="1:1" x14ac:dyDescent="0.3">
      <c r="A197" s="162"/>
    </row>
    <row r="198" spans="1:1" x14ac:dyDescent="0.3">
      <c r="A198" s="162"/>
    </row>
    <row r="199" spans="1:1" x14ac:dyDescent="0.3">
      <c r="A199" s="162"/>
    </row>
    <row r="200" spans="1:1" x14ac:dyDescent="0.3">
      <c r="A200" s="162"/>
    </row>
    <row r="201" spans="1:1" x14ac:dyDescent="0.3">
      <c r="A201" s="162"/>
    </row>
    <row r="202" spans="1:1" x14ac:dyDescent="0.3">
      <c r="A202" s="162"/>
    </row>
    <row r="203" spans="1:1" x14ac:dyDescent="0.3">
      <c r="A203" s="162"/>
    </row>
    <row r="204" spans="1:1" x14ac:dyDescent="0.3">
      <c r="A204" s="162"/>
    </row>
    <row r="205" spans="1:1" ht="15.75" customHeight="1" x14ac:dyDescent="0.3">
      <c r="A205" s="162"/>
    </row>
    <row r="206" spans="1:1" x14ac:dyDescent="0.3">
      <c r="A206" s="162"/>
    </row>
    <row r="219" s="23" customFormat="1" x14ac:dyDescent="0.3"/>
    <row r="221" s="23" customFormat="1" x14ac:dyDescent="0.3"/>
    <row r="222" s="23" customFormat="1" x14ac:dyDescent="0.3"/>
    <row r="223" s="23" customFormat="1" x14ac:dyDescent="0.3"/>
    <row r="224" s="23" customFormat="1" x14ac:dyDescent="0.3"/>
    <row r="225" spans="2:7" s="23" customFormat="1" x14ac:dyDescent="0.3"/>
    <row r="226" spans="2:7" s="23" customFormat="1" x14ac:dyDescent="0.3"/>
    <row r="227" spans="2:7" s="23" customFormat="1" x14ac:dyDescent="0.3"/>
    <row r="228" spans="2:7" s="23" customFormat="1" x14ac:dyDescent="0.3"/>
    <row r="230" spans="2:7" x14ac:dyDescent="0.3">
      <c r="B230" s="7"/>
      <c r="C230" s="7"/>
      <c r="D230" s="4"/>
      <c r="E230" s="4"/>
      <c r="F230" s="4"/>
      <c r="G230" s="4"/>
    </row>
    <row r="270" s="23" customFormat="1" x14ac:dyDescent="0.3"/>
    <row r="271" s="23" customFormat="1" x14ac:dyDescent="0.3"/>
    <row r="272" s="23" customFormat="1" x14ac:dyDescent="0.3"/>
    <row r="281" spans="4:48" s="23" customFormat="1" x14ac:dyDescent="0.3"/>
    <row r="282" spans="4:48" s="23" customFormat="1" x14ac:dyDescent="0.3"/>
    <row r="283" spans="4:48" s="23" customFormat="1" x14ac:dyDescent="0.3"/>
    <row r="285" spans="4:48" s="63" customFormat="1" x14ac:dyDescent="0.3"/>
    <row r="286" spans="4:48" x14ac:dyDescent="0.3">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3">
      <c r="D287" s="164"/>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3">
      <c r="D288" s="165"/>
    </row>
    <row r="289" spans="4:48" x14ac:dyDescent="0.3">
      <c r="D289" s="165"/>
    </row>
    <row r="290" spans="4:48" x14ac:dyDescent="0.3">
      <c r="D290" s="165"/>
    </row>
    <row r="291" spans="4:48" x14ac:dyDescent="0.3">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3"/>
    <row r="295" spans="4:48" x14ac:dyDescent="0.3">
      <c r="D295" s="164"/>
    </row>
    <row r="296" spans="4:48" x14ac:dyDescent="0.3">
      <c r="D296" s="165"/>
    </row>
    <row r="297" spans="4:48" x14ac:dyDescent="0.3">
      <c r="D297" s="165"/>
    </row>
    <row r="298" spans="4:48" x14ac:dyDescent="0.3">
      <c r="D298" s="165"/>
    </row>
    <row r="299" spans="4:48" x14ac:dyDescent="0.3">
      <c r="D299" s="165"/>
    </row>
    <row r="300" spans="4:48" x14ac:dyDescent="0.3">
      <c r="D300" s="165"/>
    </row>
    <row r="301" spans="4:48" x14ac:dyDescent="0.3">
      <c r="D301" s="165"/>
    </row>
    <row r="302" spans="4:48" x14ac:dyDescent="0.3">
      <c r="D302" s="165"/>
    </row>
    <row r="303" spans="4:48" x14ac:dyDescent="0.3">
      <c r="D303" s="165"/>
    </row>
    <row r="304" spans="4:48" x14ac:dyDescent="0.3">
      <c r="D304" s="165"/>
    </row>
    <row r="305" spans="4:4" x14ac:dyDescent="0.3">
      <c r="D305" s="165"/>
    </row>
    <row r="306" spans="4:4" x14ac:dyDescent="0.3">
      <c r="D306" s="165"/>
    </row>
    <row r="307" spans="4:4" x14ac:dyDescent="0.3">
      <c r="D307" s="165"/>
    </row>
    <row r="308" spans="4:4" x14ac:dyDescent="0.3">
      <c r="D308" s="165"/>
    </row>
    <row r="309" spans="4:4" x14ac:dyDescent="0.3">
      <c r="D309" s="165"/>
    </row>
    <row r="310" spans="4:4" x14ac:dyDescent="0.3">
      <c r="D310" s="165"/>
    </row>
    <row r="311" spans="4:4" x14ac:dyDescent="0.3">
      <c r="D311" s="165"/>
    </row>
    <row r="312" spans="4:4" x14ac:dyDescent="0.3">
      <c r="D312" s="165"/>
    </row>
    <row r="313" spans="4:4" x14ac:dyDescent="0.3">
      <c r="D313" s="165"/>
    </row>
    <row r="314" spans="4:4" x14ac:dyDescent="0.3">
      <c r="D314" s="165"/>
    </row>
    <row r="315" spans="4:4" x14ac:dyDescent="0.3">
      <c r="D315" s="165"/>
    </row>
    <row r="316" spans="4:4" x14ac:dyDescent="0.3">
      <c r="D316" s="165"/>
    </row>
  </sheetData>
  <dataConsolidate/>
  <mergeCells count="61">
    <mergeCell ref="B162:C162"/>
    <mergeCell ref="B163:C163"/>
    <mergeCell ref="B165:C165"/>
    <mergeCell ref="B172:C172"/>
    <mergeCell ref="B158:C158"/>
    <mergeCell ref="B155:C155"/>
    <mergeCell ref="B156:C156"/>
    <mergeCell ref="B143:C143"/>
    <mergeCell ref="B144:C144"/>
    <mergeCell ref="B145:C145"/>
    <mergeCell ref="B150:C150"/>
    <mergeCell ref="B151:C151"/>
    <mergeCell ref="B157:C157"/>
    <mergeCell ref="B142:C142"/>
    <mergeCell ref="B93:C93"/>
    <mergeCell ref="B107:C107"/>
    <mergeCell ref="B108:C108"/>
    <mergeCell ref="B110:C110"/>
    <mergeCell ref="B122:C122"/>
    <mergeCell ref="B123:C123"/>
    <mergeCell ref="B125:C125"/>
    <mergeCell ref="B132:C132"/>
    <mergeCell ref="B138:C138"/>
    <mergeCell ref="B140:C140"/>
    <mergeCell ref="B141:C141"/>
    <mergeCell ref="B152:C152"/>
    <mergeCell ref="B153:C153"/>
    <mergeCell ref="B154:C154"/>
    <mergeCell ref="B92:C92"/>
    <mergeCell ref="B50:C50"/>
    <mergeCell ref="B54:C54"/>
    <mergeCell ref="B55:C55"/>
    <mergeCell ref="B59:C59"/>
    <mergeCell ref="B60:C60"/>
    <mergeCell ref="B73:C73"/>
    <mergeCell ref="B74:C74"/>
    <mergeCell ref="B78:C78"/>
    <mergeCell ref="B83:C83"/>
    <mergeCell ref="B87:C87"/>
    <mergeCell ref="B88:C88"/>
    <mergeCell ref="B7:C7"/>
    <mergeCell ref="B8:C8"/>
    <mergeCell ref="B9:C9"/>
    <mergeCell ref="B16:C16"/>
    <mergeCell ref="B45:C45"/>
    <mergeCell ref="B23:C23"/>
    <mergeCell ref="B24:C24"/>
    <mergeCell ref="B25:C25"/>
    <mergeCell ref="B30:C30"/>
    <mergeCell ref="B31:C31"/>
    <mergeCell ref="B32:C32"/>
    <mergeCell ref="B33:C33"/>
    <mergeCell ref="B38:C38"/>
    <mergeCell ref="B39:C39"/>
    <mergeCell ref="B40:C40"/>
    <mergeCell ref="B41:C41"/>
    <mergeCell ref="A3:A4"/>
    <mergeCell ref="B3:C3"/>
    <mergeCell ref="B4:C4"/>
    <mergeCell ref="B5:C5"/>
    <mergeCell ref="B6:C6"/>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4A56-0293-4141-A4E6-7E533B32DA9A}">
  <sheetPr>
    <pageSetUpPr fitToPage="1"/>
  </sheetPr>
  <dimension ref="A1:AV67"/>
  <sheetViews>
    <sheetView showGridLines="0" zoomScaleNormal="100" workbookViewId="0">
      <pane xSplit="3" ySplit="5" topLeftCell="D6" activePane="bottomRight" state="frozen"/>
      <selection pane="topRight" activeCell="D1" sqref="D1"/>
      <selection pane="bottomLeft" activeCell="A6" sqref="A6"/>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0" style="2" customWidth="1"/>
    <col min="4" max="5" width="11.5546875" style="1" hidden="1" customWidth="1" outlineLevel="1"/>
    <col min="6" max="7" width="11.5546875" style="3" hidden="1" customWidth="1" outlineLevel="1"/>
    <col min="8" max="8" width="11.5546875" style="3" customWidth="1" collapsed="1"/>
    <col min="9" max="10" width="11.5546875" style="1" hidden="1" customWidth="1" outlineLevel="1"/>
    <col min="11" max="12" width="11.5546875" style="3" hidden="1" customWidth="1" outlineLevel="1"/>
    <col min="13" max="13" width="11.5546875" style="3" customWidth="1" collapsed="1"/>
    <col min="14" max="15" width="11.5546875" style="1" hidden="1" customWidth="1" outlineLevel="1"/>
    <col min="16" max="17" width="11.5546875" style="3" hidden="1" customWidth="1" outlineLevel="1"/>
    <col min="18" max="18" width="11.5546875" style="3" customWidth="1" collapsed="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48" t="s">
        <v>211</v>
      </c>
      <c r="D1" s="45"/>
      <c r="E1" s="150"/>
      <c r="F1" s="150"/>
      <c r="G1" s="150"/>
      <c r="H1" s="150"/>
      <c r="I1" s="227"/>
      <c r="J1" s="227"/>
      <c r="K1" s="227"/>
      <c r="L1" s="227"/>
      <c r="M1" s="163"/>
      <c r="N1" s="227"/>
      <c r="O1" s="227"/>
      <c r="P1" s="227"/>
      <c r="Q1" s="227"/>
      <c r="R1" s="196"/>
      <c r="S1" s="227"/>
      <c r="T1" s="227"/>
      <c r="U1" s="227"/>
      <c r="V1" s="227"/>
      <c r="W1" s="196"/>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1:48" ht="5.4" customHeight="1" x14ac:dyDescent="0.3">
      <c r="B2" s="99"/>
      <c r="D2" s="45"/>
      <c r="E2" s="150"/>
      <c r="F2" s="150"/>
      <c r="G2" s="150"/>
      <c r="H2" s="150"/>
      <c r="I2" s="227"/>
      <c r="J2" s="227"/>
      <c r="K2" s="227"/>
      <c r="L2" s="227"/>
      <c r="M2" s="163"/>
      <c r="N2" s="227"/>
      <c r="O2" s="227"/>
      <c r="P2" s="227"/>
      <c r="Q2" s="227"/>
      <c r="R2" s="196"/>
      <c r="S2" s="227"/>
      <c r="T2" s="227"/>
      <c r="U2" s="227"/>
      <c r="V2" s="227"/>
      <c r="W2" s="196"/>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row>
    <row r="3" spans="1:48" ht="15.6" x14ac:dyDescent="0.3">
      <c r="B3" s="388" t="s">
        <v>212</v>
      </c>
      <c r="C3" s="389"/>
      <c r="D3" s="13" t="s">
        <v>15</v>
      </c>
      <c r="E3" s="13" t="s">
        <v>82</v>
      </c>
      <c r="F3" s="13" t="s">
        <v>84</v>
      </c>
      <c r="G3" s="13" t="s">
        <v>148</v>
      </c>
      <c r="H3" s="39" t="s">
        <v>148</v>
      </c>
      <c r="I3" s="13" t="s">
        <v>147</v>
      </c>
      <c r="J3" s="13" t="s">
        <v>146</v>
      </c>
      <c r="K3" s="13" t="s">
        <v>145</v>
      </c>
      <c r="L3" s="13" t="s">
        <v>142</v>
      </c>
      <c r="M3" s="39" t="s">
        <v>142</v>
      </c>
      <c r="N3" s="13" t="s">
        <v>149</v>
      </c>
      <c r="O3" s="13" t="s">
        <v>157</v>
      </c>
      <c r="P3" s="13" t="s">
        <v>159</v>
      </c>
      <c r="Q3" s="13" t="s">
        <v>172</v>
      </c>
      <c r="R3" s="39" t="s">
        <v>172</v>
      </c>
      <c r="S3" s="13" t="s">
        <v>188</v>
      </c>
      <c r="T3" s="13" t="s">
        <v>191</v>
      </c>
      <c r="U3" s="13" t="s">
        <v>204</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161</v>
      </c>
      <c r="AN3" s="15" t="s">
        <v>162</v>
      </c>
      <c r="AO3" s="15" t="s">
        <v>163</v>
      </c>
      <c r="AP3" s="15" t="s">
        <v>164</v>
      </c>
      <c r="AQ3" s="41" t="s">
        <v>164</v>
      </c>
      <c r="AR3" s="15" t="s">
        <v>192</v>
      </c>
      <c r="AS3" s="15" t="s">
        <v>193</v>
      </c>
      <c r="AT3" s="15" t="s">
        <v>194</v>
      </c>
      <c r="AU3" s="15" t="s">
        <v>195</v>
      </c>
      <c r="AV3" s="41" t="s">
        <v>195</v>
      </c>
    </row>
    <row r="4" spans="1:48" ht="16.2" x14ac:dyDescent="0.45">
      <c r="B4" s="262" t="s">
        <v>3</v>
      </c>
      <c r="C4" s="263"/>
      <c r="D4" s="14" t="s">
        <v>19</v>
      </c>
      <c r="E4" s="14" t="s">
        <v>81</v>
      </c>
      <c r="F4" s="14" t="s">
        <v>85</v>
      </c>
      <c r="G4" s="14" t="s">
        <v>95</v>
      </c>
      <c r="H4" s="40" t="s">
        <v>96</v>
      </c>
      <c r="I4" s="14" t="s">
        <v>97</v>
      </c>
      <c r="J4" s="14" t="s">
        <v>98</v>
      </c>
      <c r="K4" s="14" t="s">
        <v>99</v>
      </c>
      <c r="L4" s="14" t="s">
        <v>143</v>
      </c>
      <c r="M4" s="40" t="s">
        <v>144</v>
      </c>
      <c r="N4" s="14" t="s">
        <v>150</v>
      </c>
      <c r="O4" s="14" t="s">
        <v>158</v>
      </c>
      <c r="P4" s="14" t="s">
        <v>160</v>
      </c>
      <c r="Q4" s="14" t="s">
        <v>173</v>
      </c>
      <c r="R4" s="40" t="s">
        <v>174</v>
      </c>
      <c r="S4" s="14" t="s">
        <v>189</v>
      </c>
      <c r="T4" s="14" t="s">
        <v>190</v>
      </c>
      <c r="U4" s="14" t="s">
        <v>205</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165</v>
      </c>
      <c r="AN4" s="12" t="s">
        <v>166</v>
      </c>
      <c r="AO4" s="12" t="s">
        <v>167</v>
      </c>
      <c r="AP4" s="12" t="s">
        <v>168</v>
      </c>
      <c r="AQ4" s="42" t="s">
        <v>169</v>
      </c>
      <c r="AR4" s="12" t="s">
        <v>196</v>
      </c>
      <c r="AS4" s="12" t="s">
        <v>197</v>
      </c>
      <c r="AT4" s="12" t="s">
        <v>198</v>
      </c>
      <c r="AU4" s="12" t="s">
        <v>199</v>
      </c>
      <c r="AV4" s="42" t="s">
        <v>200</v>
      </c>
    </row>
    <row r="5" spans="1:48" ht="14.55" customHeight="1" x14ac:dyDescent="0.3">
      <c r="B5" s="388" t="s">
        <v>213</v>
      </c>
      <c r="C5" s="389"/>
      <c r="D5" s="13"/>
      <c r="E5" s="13"/>
      <c r="F5" s="13"/>
      <c r="G5" s="270"/>
      <c r="H5" s="271"/>
      <c r="I5" s="270"/>
      <c r="J5" s="13"/>
      <c r="K5" s="13"/>
      <c r="L5" s="270"/>
      <c r="M5" s="271"/>
      <c r="N5" s="270"/>
      <c r="O5" s="13"/>
      <c r="P5" s="13"/>
      <c r="Q5" s="270"/>
      <c r="R5" s="271"/>
      <c r="S5" s="270"/>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3">
      <c r="B6" s="392" t="s">
        <v>214</v>
      </c>
      <c r="C6" s="393"/>
      <c r="D6" s="16">
        <f>'Cash Flow Statement'!D41</f>
        <v>4761.6000000000004</v>
      </c>
      <c r="E6" s="16">
        <f>'Cash Flow Statement'!E41</f>
        <v>2055.1000000000004</v>
      </c>
      <c r="F6" s="16">
        <f>'Cash Flow Statement'!F41</f>
        <v>4763.4000000000015</v>
      </c>
      <c r="G6" s="101">
        <f>'Cash Flow Statement'!G41</f>
        <v>2686.6000000000022</v>
      </c>
      <c r="H6" s="17">
        <f>G6</f>
        <v>2686.6000000000022</v>
      </c>
      <c r="I6" s="16">
        <f>'Cash Flow Statement'!I41</f>
        <v>3040.5000000000036</v>
      </c>
      <c r="J6" s="16">
        <f>'Cash Flow Statement'!J41</f>
        <v>2572.3000000000029</v>
      </c>
      <c r="K6" s="16">
        <f>'Cash Flow Statement'!K41</f>
        <v>3965.9000000000042</v>
      </c>
      <c r="L6" s="101">
        <f>'Cash Flow Statement'!L41</f>
        <v>4350.900000000006</v>
      </c>
      <c r="M6" s="17">
        <f>L6</f>
        <v>4350.900000000006</v>
      </c>
      <c r="N6" s="16">
        <f>'Cash Flow Statement'!N41</f>
        <v>5028.00000000001</v>
      </c>
      <c r="O6" s="16">
        <f>'Cash Flow Statement'!O41</f>
        <v>3880.6000000000104</v>
      </c>
      <c r="P6" s="16">
        <f>'Cash Flow Statement'!P41</f>
        <v>4753.1000000000095</v>
      </c>
      <c r="Q6" s="16">
        <f>'Cash Flow Statement'!Q41</f>
        <v>6455.7000000000089</v>
      </c>
      <c r="R6" s="17">
        <f>Q6</f>
        <v>6455.7000000000089</v>
      </c>
      <c r="S6" s="16">
        <f>'Cash Flow Statement'!S41</f>
        <v>3969.4000000000078</v>
      </c>
      <c r="T6" s="16">
        <f>'Cash Flow Statement'!T41</f>
        <v>3913.4000000000083</v>
      </c>
      <c r="U6" s="16">
        <f>'Cash Flow Statement'!U41</f>
        <v>3177.5000000000073</v>
      </c>
      <c r="V6" s="16"/>
      <c r="W6" s="17"/>
      <c r="X6" s="16"/>
      <c r="Y6" s="16"/>
      <c r="Z6" s="16"/>
      <c r="AA6" s="16"/>
      <c r="AB6" s="17"/>
      <c r="AC6" s="16"/>
      <c r="AD6" s="16"/>
      <c r="AE6" s="16"/>
      <c r="AF6" s="16"/>
      <c r="AG6" s="17"/>
      <c r="AH6" s="16"/>
      <c r="AI6" s="16"/>
      <c r="AJ6" s="16"/>
      <c r="AK6" s="16"/>
      <c r="AL6" s="17"/>
      <c r="AM6" s="16"/>
      <c r="AN6" s="16"/>
      <c r="AO6" s="16"/>
      <c r="AP6" s="16"/>
      <c r="AQ6" s="17"/>
      <c r="AR6" s="16"/>
      <c r="AS6" s="16"/>
      <c r="AT6" s="16"/>
      <c r="AU6" s="16"/>
      <c r="AV6" s="17"/>
    </row>
    <row r="7" spans="1:48" ht="14.55" customHeight="1" outlineLevel="1" x14ac:dyDescent="0.3">
      <c r="A7" s="162"/>
      <c r="B7" s="210" t="s">
        <v>215</v>
      </c>
      <c r="C7" s="211"/>
      <c r="D7" s="16">
        <v>230.2</v>
      </c>
      <c r="E7" s="16">
        <v>76.599999999999994</v>
      </c>
      <c r="F7" s="16">
        <v>72.099999999999994</v>
      </c>
      <c r="G7" s="16">
        <v>70.5</v>
      </c>
      <c r="H7" s="17">
        <f>+G7</f>
        <v>70.5</v>
      </c>
      <c r="I7" s="16">
        <v>68.400000000000006</v>
      </c>
      <c r="J7" s="16">
        <v>52.9</v>
      </c>
      <c r="K7" s="16">
        <v>229.9</v>
      </c>
      <c r="L7" s="16">
        <v>281.2</v>
      </c>
      <c r="M7" s="17">
        <f>+L7</f>
        <v>281.2</v>
      </c>
      <c r="N7" s="16">
        <v>235.5</v>
      </c>
      <c r="O7" s="16">
        <v>123</v>
      </c>
      <c r="P7" s="16">
        <v>153.6</v>
      </c>
      <c r="Q7" s="101">
        <v>162.19999999999999</v>
      </c>
      <c r="R7" s="17">
        <f>+Q7</f>
        <v>162.19999999999999</v>
      </c>
      <c r="S7" s="16">
        <v>87.4</v>
      </c>
      <c r="T7" s="16">
        <v>82.1</v>
      </c>
      <c r="U7" s="16">
        <v>76.900000000000006</v>
      </c>
      <c r="V7" s="16"/>
      <c r="W7" s="17"/>
      <c r="X7" s="16"/>
      <c r="Y7" s="16"/>
      <c r="Z7" s="16"/>
      <c r="AA7" s="16"/>
      <c r="AB7" s="17"/>
      <c r="AC7" s="16"/>
      <c r="AD7" s="16"/>
      <c r="AE7" s="16"/>
      <c r="AF7" s="16"/>
      <c r="AG7" s="17"/>
      <c r="AH7" s="16"/>
      <c r="AI7" s="16"/>
      <c r="AJ7" s="16"/>
      <c r="AK7" s="16"/>
      <c r="AL7" s="17"/>
      <c r="AM7" s="16"/>
      <c r="AN7" s="16"/>
      <c r="AO7" s="16"/>
      <c r="AP7" s="16"/>
      <c r="AQ7" s="17"/>
      <c r="AR7" s="16"/>
      <c r="AS7" s="16"/>
      <c r="AT7" s="16"/>
      <c r="AU7" s="16"/>
      <c r="AV7" s="17"/>
    </row>
    <row r="8" spans="1:48" s="23" customFormat="1" ht="14.55" customHeight="1" outlineLevel="1" x14ac:dyDescent="0.3">
      <c r="A8" s="162"/>
      <c r="B8" s="392" t="s">
        <v>216</v>
      </c>
      <c r="C8" s="393"/>
      <c r="D8" s="16">
        <v>721.4</v>
      </c>
      <c r="E8" s="16">
        <v>703.6</v>
      </c>
      <c r="F8" s="16">
        <v>790.6</v>
      </c>
      <c r="G8" s="16">
        <v>879</v>
      </c>
      <c r="H8" s="17">
        <f>G8</f>
        <v>879</v>
      </c>
      <c r="I8" s="16">
        <v>908.1</v>
      </c>
      <c r="J8" s="16">
        <v>941</v>
      </c>
      <c r="K8" s="16">
        <v>881.1</v>
      </c>
      <c r="L8" s="16">
        <v>883.4</v>
      </c>
      <c r="M8" s="17">
        <f>L8</f>
        <v>883.4</v>
      </c>
      <c r="N8" s="16">
        <v>888</v>
      </c>
      <c r="O8" s="16">
        <v>880.2</v>
      </c>
      <c r="P8" s="16">
        <v>911.2</v>
      </c>
      <c r="Q8" s="101">
        <v>940</v>
      </c>
      <c r="R8" s="17">
        <f>Q8</f>
        <v>940</v>
      </c>
      <c r="S8" s="16">
        <v>1031.0999999999999</v>
      </c>
      <c r="T8" s="16">
        <v>1001.9</v>
      </c>
      <c r="U8" s="16">
        <v>1146.0999999999999</v>
      </c>
      <c r="V8" s="16"/>
      <c r="W8" s="17"/>
      <c r="X8" s="16"/>
      <c r="Y8" s="16"/>
      <c r="Z8" s="16"/>
      <c r="AA8" s="16"/>
      <c r="AB8" s="17"/>
      <c r="AC8" s="16"/>
      <c r="AD8" s="16"/>
      <c r="AE8" s="16"/>
      <c r="AF8" s="16"/>
      <c r="AG8" s="17"/>
      <c r="AH8" s="16"/>
      <c r="AI8" s="16"/>
      <c r="AJ8" s="16"/>
      <c r="AK8" s="16"/>
      <c r="AL8" s="17"/>
      <c r="AM8" s="16"/>
      <c r="AN8" s="16"/>
      <c r="AO8" s="16"/>
      <c r="AP8" s="16"/>
      <c r="AQ8" s="17"/>
      <c r="AR8" s="16"/>
      <c r="AS8" s="16"/>
      <c r="AT8" s="16"/>
      <c r="AU8" s="16"/>
      <c r="AV8" s="17"/>
    </row>
    <row r="9" spans="1:48" s="23" customFormat="1" ht="14.55" customHeight="1" outlineLevel="1" x14ac:dyDescent="0.3">
      <c r="A9" s="162"/>
      <c r="B9" s="210" t="s">
        <v>217</v>
      </c>
      <c r="C9" s="211"/>
      <c r="D9" s="16">
        <v>1354.6</v>
      </c>
      <c r="E9" s="16">
        <v>1443</v>
      </c>
      <c r="F9" s="16">
        <v>1517.2</v>
      </c>
      <c r="G9" s="16">
        <v>1529.4</v>
      </c>
      <c r="H9" s="17">
        <f>G9</f>
        <v>1529.4</v>
      </c>
      <c r="I9" s="16">
        <v>1408.7</v>
      </c>
      <c r="J9" s="16">
        <v>1492.2</v>
      </c>
      <c r="K9" s="16">
        <v>1583.8</v>
      </c>
      <c r="L9" s="16">
        <v>1551.4</v>
      </c>
      <c r="M9" s="17">
        <f>L9</f>
        <v>1551.4</v>
      </c>
      <c r="N9" s="16">
        <v>1471.5</v>
      </c>
      <c r="O9" s="16">
        <v>1503.6</v>
      </c>
      <c r="P9" s="16">
        <v>1548.2</v>
      </c>
      <c r="Q9" s="101">
        <v>1603.9</v>
      </c>
      <c r="R9" s="17">
        <f>Q9</f>
        <v>1603.9</v>
      </c>
      <c r="S9" s="16">
        <v>1637.1</v>
      </c>
      <c r="T9" s="16">
        <v>1920</v>
      </c>
      <c r="U9" s="16">
        <v>2132.9</v>
      </c>
      <c r="V9" s="16"/>
      <c r="W9" s="17"/>
      <c r="X9" s="16"/>
      <c r="Y9" s="16"/>
      <c r="Z9" s="16"/>
      <c r="AA9" s="16"/>
      <c r="AB9" s="17"/>
      <c r="AC9" s="16"/>
      <c r="AD9" s="16"/>
      <c r="AE9" s="16"/>
      <c r="AF9" s="16"/>
      <c r="AG9" s="17"/>
      <c r="AH9" s="16"/>
      <c r="AI9" s="16"/>
      <c r="AJ9" s="16"/>
      <c r="AK9" s="16"/>
      <c r="AL9" s="17"/>
      <c r="AM9" s="16"/>
      <c r="AN9" s="16"/>
      <c r="AO9" s="16"/>
      <c r="AP9" s="16"/>
      <c r="AQ9" s="17"/>
      <c r="AR9" s="16"/>
      <c r="AS9" s="16"/>
      <c r="AT9" s="16"/>
      <c r="AU9" s="16"/>
      <c r="AV9" s="17"/>
    </row>
    <row r="10" spans="1:48" ht="16.2" customHeight="1" outlineLevel="1" x14ac:dyDescent="0.45">
      <c r="A10" s="162"/>
      <c r="B10" s="392" t="s">
        <v>218</v>
      </c>
      <c r="C10" s="393"/>
      <c r="D10" s="272">
        <v>608.5</v>
      </c>
      <c r="E10" s="112">
        <v>674</v>
      </c>
      <c r="F10" s="112">
        <v>591.6</v>
      </c>
      <c r="G10" s="112">
        <v>488.2</v>
      </c>
      <c r="H10" s="273">
        <f>G10</f>
        <v>488.2</v>
      </c>
      <c r="I10" s="112">
        <v>474</v>
      </c>
      <c r="J10" s="112">
        <v>691.5</v>
      </c>
      <c r="K10" s="112">
        <v>920.3</v>
      </c>
      <c r="L10" s="112">
        <v>739.5</v>
      </c>
      <c r="M10" s="273">
        <f>L10</f>
        <v>739.5</v>
      </c>
      <c r="N10" s="112">
        <v>734.4</v>
      </c>
      <c r="O10" s="112">
        <v>592</v>
      </c>
      <c r="P10" s="112">
        <v>565.6</v>
      </c>
      <c r="Q10" s="112">
        <v>594.6</v>
      </c>
      <c r="R10" s="273">
        <f>Q10</f>
        <v>594.6</v>
      </c>
      <c r="S10" s="112">
        <v>530.1</v>
      </c>
      <c r="T10" s="112">
        <v>623.70000000000005</v>
      </c>
      <c r="U10" s="112">
        <v>534.1</v>
      </c>
      <c r="V10" s="32"/>
      <c r="W10" s="273"/>
      <c r="X10" s="32"/>
      <c r="Y10" s="32"/>
      <c r="Z10" s="32"/>
      <c r="AA10" s="32"/>
      <c r="AB10" s="273"/>
      <c r="AC10" s="32"/>
      <c r="AD10" s="32"/>
      <c r="AE10" s="32"/>
      <c r="AF10" s="32"/>
      <c r="AG10" s="273"/>
      <c r="AH10" s="32"/>
      <c r="AI10" s="32"/>
      <c r="AJ10" s="32"/>
      <c r="AK10" s="32"/>
      <c r="AL10" s="273"/>
      <c r="AM10" s="32"/>
      <c r="AN10" s="32"/>
      <c r="AO10" s="32"/>
      <c r="AP10" s="32"/>
      <c r="AQ10" s="273"/>
      <c r="AR10" s="32"/>
      <c r="AS10" s="32"/>
      <c r="AT10" s="32"/>
      <c r="AU10" s="32"/>
      <c r="AV10" s="273"/>
    </row>
    <row r="11" spans="1:48" ht="14.55" customHeight="1" outlineLevel="1" x14ac:dyDescent="0.3">
      <c r="A11" s="162"/>
      <c r="B11" s="215" t="s">
        <v>219</v>
      </c>
      <c r="C11" s="216"/>
      <c r="D11" s="21">
        <f t="shared" ref="D11:AV11" si="0">SUM(D6:D10)</f>
        <v>7676.2999999999993</v>
      </c>
      <c r="E11" s="21">
        <f t="shared" si="0"/>
        <v>4952.3</v>
      </c>
      <c r="F11" s="21">
        <f t="shared" si="0"/>
        <v>7734.9000000000024</v>
      </c>
      <c r="G11" s="21">
        <f t="shared" si="0"/>
        <v>5653.7000000000016</v>
      </c>
      <c r="H11" s="22">
        <f t="shared" si="0"/>
        <v>5653.7000000000016</v>
      </c>
      <c r="I11" s="21">
        <f t="shared" si="0"/>
        <v>5899.7000000000035</v>
      </c>
      <c r="J11" s="21">
        <f t="shared" si="0"/>
        <v>5749.9000000000033</v>
      </c>
      <c r="K11" s="21">
        <f t="shared" si="0"/>
        <v>7581.0000000000045</v>
      </c>
      <c r="L11" s="116">
        <f t="shared" si="0"/>
        <v>7806.4000000000051</v>
      </c>
      <c r="M11" s="22">
        <f t="shared" si="0"/>
        <v>7806.4000000000051</v>
      </c>
      <c r="N11" s="21">
        <f t="shared" si="0"/>
        <v>8357.4000000000106</v>
      </c>
      <c r="O11" s="21">
        <f t="shared" si="0"/>
        <v>6979.4000000000106</v>
      </c>
      <c r="P11" s="21">
        <f t="shared" si="0"/>
        <v>7931.7000000000098</v>
      </c>
      <c r="Q11" s="116">
        <f t="shared" si="0"/>
        <v>9756.4000000000087</v>
      </c>
      <c r="R11" s="22">
        <f t="shared" si="0"/>
        <v>9756.4000000000087</v>
      </c>
      <c r="S11" s="21">
        <f t="shared" si="0"/>
        <v>7255.1000000000076</v>
      </c>
      <c r="T11" s="21">
        <f t="shared" si="0"/>
        <v>7541.1000000000076</v>
      </c>
      <c r="U11" s="21">
        <f t="shared" si="0"/>
        <v>7067.5000000000073</v>
      </c>
      <c r="V11" s="21"/>
      <c r="W11" s="22"/>
      <c r="X11" s="21"/>
      <c r="Y11" s="21"/>
      <c r="Z11" s="21"/>
      <c r="AA11" s="21"/>
      <c r="AB11" s="22"/>
      <c r="AC11" s="21"/>
      <c r="AD11" s="21"/>
      <c r="AE11" s="21"/>
      <c r="AF11" s="21"/>
      <c r="AG11" s="22"/>
      <c r="AH11" s="21"/>
      <c r="AI11" s="21"/>
      <c r="AJ11" s="21"/>
      <c r="AK11" s="21"/>
      <c r="AL11" s="22"/>
      <c r="AM11" s="21"/>
      <c r="AN11" s="21"/>
      <c r="AO11" s="21"/>
      <c r="AP11" s="21"/>
      <c r="AQ11" s="22"/>
      <c r="AR11" s="21"/>
      <c r="AS11" s="21"/>
      <c r="AT11" s="21"/>
      <c r="AU11" s="21"/>
      <c r="AV11" s="22"/>
    </row>
    <row r="12" spans="1:48" ht="14.55" customHeight="1" outlineLevel="1" x14ac:dyDescent="0.3">
      <c r="A12" s="162"/>
      <c r="B12" s="210" t="s">
        <v>220</v>
      </c>
      <c r="C12" s="217"/>
      <c r="D12" s="16">
        <v>265</v>
      </c>
      <c r="E12" s="16">
        <v>251.9</v>
      </c>
      <c r="F12" s="16">
        <v>222.6</v>
      </c>
      <c r="G12" s="16">
        <v>220</v>
      </c>
      <c r="H12" s="17">
        <f t="shared" ref="H12:H18" si="1">+G12</f>
        <v>220</v>
      </c>
      <c r="I12" s="16">
        <v>199.8</v>
      </c>
      <c r="J12" s="16">
        <v>198.8</v>
      </c>
      <c r="K12" s="16">
        <v>223.4</v>
      </c>
      <c r="L12" s="101">
        <v>206.1</v>
      </c>
      <c r="M12" s="17">
        <f>+L12</f>
        <v>206.1</v>
      </c>
      <c r="N12" s="16">
        <v>190.9</v>
      </c>
      <c r="O12" s="16">
        <v>284.8</v>
      </c>
      <c r="P12" s="16">
        <v>285.89999999999998</v>
      </c>
      <c r="Q12" s="101">
        <v>281.7</v>
      </c>
      <c r="R12" s="17">
        <f>+Q12</f>
        <v>281.7</v>
      </c>
      <c r="S12" s="16">
        <v>299.60000000000002</v>
      </c>
      <c r="T12" s="16">
        <v>285.60000000000002</v>
      </c>
      <c r="U12" s="16">
        <v>292.5</v>
      </c>
      <c r="V12" s="16"/>
      <c r="W12" s="17"/>
      <c r="X12" s="16"/>
      <c r="Y12" s="16"/>
      <c r="Z12" s="16"/>
      <c r="AA12" s="16"/>
      <c r="AB12" s="17"/>
      <c r="AC12" s="16"/>
      <c r="AD12" s="16"/>
      <c r="AE12" s="16"/>
      <c r="AF12" s="16"/>
      <c r="AG12" s="17"/>
      <c r="AH12" s="16"/>
      <c r="AI12" s="16"/>
      <c r="AJ12" s="16"/>
      <c r="AK12" s="16"/>
      <c r="AL12" s="17"/>
      <c r="AM12" s="16"/>
      <c r="AN12" s="16"/>
      <c r="AO12" s="16"/>
      <c r="AP12" s="16"/>
      <c r="AQ12" s="17"/>
      <c r="AR12" s="16"/>
      <c r="AS12" s="16"/>
      <c r="AT12" s="16"/>
      <c r="AU12" s="16"/>
      <c r="AV12" s="17"/>
    </row>
    <row r="13" spans="1:48" ht="14.55" customHeight="1" outlineLevel="1" x14ac:dyDescent="0.3">
      <c r="A13" s="162"/>
      <c r="B13" s="210" t="s">
        <v>221</v>
      </c>
      <c r="C13" s="217"/>
      <c r="D13" s="16">
        <v>336.1</v>
      </c>
      <c r="E13" s="16">
        <v>309.3</v>
      </c>
      <c r="F13" s="16">
        <v>340.3</v>
      </c>
      <c r="G13" s="16">
        <v>396</v>
      </c>
      <c r="H13" s="17">
        <f t="shared" si="1"/>
        <v>396</v>
      </c>
      <c r="I13" s="16">
        <v>411.3</v>
      </c>
      <c r="J13" s="16">
        <v>420.9</v>
      </c>
      <c r="K13" s="16">
        <v>426.1</v>
      </c>
      <c r="L13" s="101">
        <v>478.7</v>
      </c>
      <c r="M13" s="17">
        <f>+L13</f>
        <v>478.7</v>
      </c>
      <c r="N13" s="16">
        <v>496</v>
      </c>
      <c r="O13" s="16">
        <v>499.4</v>
      </c>
      <c r="P13" s="16">
        <v>535.29999999999995</v>
      </c>
      <c r="Q13" s="101">
        <v>268.5</v>
      </c>
      <c r="R13" s="17">
        <f>+Q13</f>
        <v>268.5</v>
      </c>
      <c r="S13" s="16">
        <v>251.9</v>
      </c>
      <c r="T13" s="16">
        <v>270.8</v>
      </c>
      <c r="U13" s="16">
        <v>302.7</v>
      </c>
      <c r="V13" s="33"/>
      <c r="W13" s="17"/>
      <c r="X13" s="33"/>
      <c r="Y13" s="33"/>
      <c r="Z13" s="33"/>
      <c r="AA13" s="33"/>
      <c r="AB13" s="17"/>
      <c r="AC13" s="33"/>
      <c r="AD13" s="33"/>
      <c r="AE13" s="33"/>
      <c r="AF13" s="33"/>
      <c r="AG13" s="17"/>
      <c r="AH13" s="33"/>
      <c r="AI13" s="33"/>
      <c r="AJ13" s="33"/>
      <c r="AK13" s="33"/>
      <c r="AL13" s="17"/>
      <c r="AM13" s="33"/>
      <c r="AN13" s="33"/>
      <c r="AO13" s="33"/>
      <c r="AP13" s="33"/>
      <c r="AQ13" s="17"/>
      <c r="AR13" s="33"/>
      <c r="AS13" s="33"/>
      <c r="AT13" s="33"/>
      <c r="AU13" s="33"/>
      <c r="AV13" s="17"/>
    </row>
    <row r="14" spans="1:48" s="8" customFormat="1" outlineLevel="1" x14ac:dyDescent="0.3">
      <c r="A14" s="162"/>
      <c r="B14" s="210" t="s">
        <v>222</v>
      </c>
      <c r="C14" s="216"/>
      <c r="D14" s="16">
        <v>6039.3</v>
      </c>
      <c r="E14" s="16">
        <v>6135.5</v>
      </c>
      <c r="F14" s="16">
        <v>6187.8</v>
      </c>
      <c r="G14" s="16">
        <v>6431.7</v>
      </c>
      <c r="H14" s="17">
        <f t="shared" si="1"/>
        <v>6431.7</v>
      </c>
      <c r="I14" s="16">
        <v>6390.9</v>
      </c>
      <c r="J14" s="16">
        <v>6387</v>
      </c>
      <c r="K14" s="16">
        <v>6295.6</v>
      </c>
      <c r="L14" s="101">
        <v>6241.4</v>
      </c>
      <c r="M14" s="17">
        <f>+L14</f>
        <v>6241.4</v>
      </c>
      <c r="N14" s="16">
        <v>6177.9</v>
      </c>
      <c r="O14" s="16">
        <v>6123.1</v>
      </c>
      <c r="P14" s="16">
        <v>6151.4</v>
      </c>
      <c r="Q14" s="101">
        <v>6369.5</v>
      </c>
      <c r="R14" s="17">
        <f>+Q14</f>
        <v>6369.5</v>
      </c>
      <c r="S14" s="16">
        <v>6398</v>
      </c>
      <c r="T14" s="16">
        <v>6460.8</v>
      </c>
      <c r="U14" s="101">
        <v>6408.2</v>
      </c>
      <c r="V14" s="16"/>
      <c r="W14" s="17"/>
      <c r="X14" s="16"/>
      <c r="Y14" s="16"/>
      <c r="Z14" s="16"/>
      <c r="AA14" s="16"/>
      <c r="AB14" s="17"/>
      <c r="AC14" s="16"/>
      <c r="AD14" s="16"/>
      <c r="AE14" s="16"/>
      <c r="AF14" s="16"/>
      <c r="AG14" s="17"/>
      <c r="AH14" s="16"/>
      <c r="AI14" s="16"/>
      <c r="AJ14" s="16"/>
      <c r="AK14" s="16"/>
      <c r="AL14" s="17"/>
      <c r="AM14" s="16"/>
      <c r="AN14" s="16"/>
      <c r="AO14" s="16"/>
      <c r="AP14" s="16"/>
      <c r="AQ14" s="17"/>
      <c r="AR14" s="16"/>
      <c r="AS14" s="16"/>
      <c r="AT14" s="16"/>
      <c r="AU14" s="16"/>
      <c r="AV14" s="17"/>
    </row>
    <row r="15" spans="1:48" s="8" customFormat="1" outlineLevel="1" x14ac:dyDescent="0.3">
      <c r="A15" s="162"/>
      <c r="B15" s="210" t="s">
        <v>223</v>
      </c>
      <c r="C15" s="216"/>
      <c r="D15" s="16">
        <v>0</v>
      </c>
      <c r="E15" s="16">
        <v>0</v>
      </c>
      <c r="F15" s="16">
        <v>0</v>
      </c>
      <c r="G15" s="16">
        <v>0</v>
      </c>
      <c r="H15" s="17">
        <f t="shared" si="1"/>
        <v>0</v>
      </c>
      <c r="I15" s="16">
        <v>8358.5</v>
      </c>
      <c r="J15" s="16">
        <v>8260.7999999999993</v>
      </c>
      <c r="K15" s="16">
        <v>8214</v>
      </c>
      <c r="L15" s="101">
        <v>8134.1</v>
      </c>
      <c r="M15" s="17">
        <f>L15</f>
        <v>8134.1</v>
      </c>
      <c r="N15" s="16">
        <v>8199.4</v>
      </c>
      <c r="O15" s="16">
        <v>8036.8</v>
      </c>
      <c r="P15" s="16">
        <v>8065.2</v>
      </c>
      <c r="Q15" s="101">
        <v>8236</v>
      </c>
      <c r="R15" s="17">
        <f>Q15</f>
        <v>8236</v>
      </c>
      <c r="S15" s="16">
        <v>8203.4</v>
      </c>
      <c r="T15" s="16">
        <v>8170.2</v>
      </c>
      <c r="U15" s="101">
        <v>8037.1</v>
      </c>
      <c r="V15" s="33"/>
      <c r="W15" s="17"/>
      <c r="X15" s="33"/>
      <c r="Y15" s="33"/>
      <c r="Z15" s="33"/>
      <c r="AA15" s="33"/>
      <c r="AB15" s="17"/>
      <c r="AC15" s="33"/>
      <c r="AD15" s="33"/>
      <c r="AE15" s="33"/>
      <c r="AF15" s="33"/>
      <c r="AG15" s="17"/>
      <c r="AH15" s="33"/>
      <c r="AI15" s="33"/>
      <c r="AJ15" s="33"/>
      <c r="AK15" s="33"/>
      <c r="AL15" s="17"/>
      <c r="AM15" s="33"/>
      <c r="AN15" s="33"/>
      <c r="AO15" s="33"/>
      <c r="AP15" s="33"/>
      <c r="AQ15" s="17"/>
      <c r="AR15" s="33"/>
      <c r="AS15" s="33"/>
      <c r="AT15" s="33"/>
      <c r="AU15" s="33"/>
      <c r="AV15" s="17"/>
    </row>
    <row r="16" spans="1:48" s="8" customFormat="1" outlineLevel="1" x14ac:dyDescent="0.3">
      <c r="A16" s="162"/>
      <c r="B16" s="210" t="s">
        <v>224</v>
      </c>
      <c r="C16" s="216"/>
      <c r="D16" s="16">
        <v>650</v>
      </c>
      <c r="E16" s="16">
        <v>1006.6</v>
      </c>
      <c r="F16" s="16">
        <v>1533</v>
      </c>
      <c r="G16" s="16">
        <v>1765.8</v>
      </c>
      <c r="H16" s="17">
        <f t="shared" si="1"/>
        <v>1765.8</v>
      </c>
      <c r="I16" s="16">
        <v>1731.4</v>
      </c>
      <c r="J16" s="16">
        <v>1709.7</v>
      </c>
      <c r="K16" s="16">
        <v>1740</v>
      </c>
      <c r="L16" s="101">
        <v>1789.9</v>
      </c>
      <c r="M16" s="17">
        <f>+L16</f>
        <v>1789.9</v>
      </c>
      <c r="N16" s="16">
        <v>1792.4</v>
      </c>
      <c r="O16" s="16">
        <v>1770</v>
      </c>
      <c r="P16" s="16">
        <v>1851</v>
      </c>
      <c r="Q16" s="101">
        <v>1874.8</v>
      </c>
      <c r="R16" s="17">
        <f>+Q16</f>
        <v>1874.8</v>
      </c>
      <c r="S16" s="16">
        <v>1859.7</v>
      </c>
      <c r="T16" s="16">
        <v>1809.4</v>
      </c>
      <c r="U16" s="101">
        <v>1752.9</v>
      </c>
      <c r="V16" s="101"/>
      <c r="W16" s="170"/>
      <c r="X16" s="101"/>
      <c r="Y16" s="101"/>
      <c r="Z16" s="101"/>
      <c r="AA16" s="101"/>
      <c r="AB16" s="170"/>
      <c r="AC16" s="101"/>
      <c r="AD16" s="101"/>
      <c r="AE16" s="101"/>
      <c r="AF16" s="101"/>
      <c r="AG16" s="170"/>
      <c r="AH16" s="101"/>
      <c r="AI16" s="101"/>
      <c r="AJ16" s="101"/>
      <c r="AK16" s="101"/>
      <c r="AL16" s="170"/>
      <c r="AM16" s="101"/>
      <c r="AN16" s="101"/>
      <c r="AO16" s="101"/>
      <c r="AP16" s="101"/>
      <c r="AQ16" s="170"/>
      <c r="AR16" s="101"/>
      <c r="AS16" s="101"/>
      <c r="AT16" s="101"/>
      <c r="AU16" s="101"/>
      <c r="AV16" s="17"/>
    </row>
    <row r="17" spans="1:48" s="8" customFormat="1" outlineLevel="1" x14ac:dyDescent="0.3">
      <c r="A17" s="162"/>
      <c r="B17" s="210" t="s">
        <v>225</v>
      </c>
      <c r="C17" s="216"/>
      <c r="D17" s="16">
        <v>472.7</v>
      </c>
      <c r="E17" s="16">
        <v>464.5</v>
      </c>
      <c r="F17" s="16">
        <v>458</v>
      </c>
      <c r="G17" s="16">
        <v>479.6</v>
      </c>
      <c r="H17" s="17">
        <f t="shared" si="1"/>
        <v>479.6</v>
      </c>
      <c r="I17" s="16">
        <v>484.7</v>
      </c>
      <c r="J17" s="16">
        <v>580.1</v>
      </c>
      <c r="K17" s="16">
        <v>550.79999999999995</v>
      </c>
      <c r="L17" s="101">
        <v>568.6</v>
      </c>
      <c r="M17" s="17">
        <f>+L17</f>
        <v>568.6</v>
      </c>
      <c r="N17" s="16">
        <v>541.1</v>
      </c>
      <c r="O17" s="16">
        <v>574.9</v>
      </c>
      <c r="P17" s="16">
        <v>586.29999999999995</v>
      </c>
      <c r="Q17" s="101">
        <v>578.5</v>
      </c>
      <c r="R17" s="17">
        <f>+Q17</f>
        <v>578.5</v>
      </c>
      <c r="S17" s="16">
        <v>588</v>
      </c>
      <c r="T17" s="16">
        <v>582.79999999999995</v>
      </c>
      <c r="U17" s="101">
        <v>640.70000000000005</v>
      </c>
      <c r="V17" s="33"/>
      <c r="W17" s="17"/>
      <c r="X17" s="33"/>
      <c r="Y17" s="33"/>
      <c r="Z17" s="33"/>
      <c r="AA17" s="33"/>
      <c r="AB17" s="17"/>
      <c r="AC17" s="33"/>
      <c r="AD17" s="33"/>
      <c r="AE17" s="33"/>
      <c r="AF17" s="33"/>
      <c r="AG17" s="17"/>
      <c r="AH17" s="33"/>
      <c r="AI17" s="33"/>
      <c r="AJ17" s="33"/>
      <c r="AK17" s="33"/>
      <c r="AL17" s="17"/>
      <c r="AM17" s="33"/>
      <c r="AN17" s="33"/>
      <c r="AO17" s="33"/>
      <c r="AP17" s="33"/>
      <c r="AQ17" s="17"/>
      <c r="AR17" s="33"/>
      <c r="AS17" s="33"/>
      <c r="AT17" s="33"/>
      <c r="AU17" s="33"/>
      <c r="AV17" s="17"/>
    </row>
    <row r="18" spans="1:48" s="8" customFormat="1" outlineLevel="1" x14ac:dyDescent="0.3">
      <c r="A18" s="162"/>
      <c r="B18" s="210" t="s">
        <v>226</v>
      </c>
      <c r="C18" s="216"/>
      <c r="D18" s="16">
        <v>981.6</v>
      </c>
      <c r="E18" s="16">
        <v>918.3</v>
      </c>
      <c r="F18" s="16">
        <v>853.2</v>
      </c>
      <c r="G18" s="16">
        <v>781.8</v>
      </c>
      <c r="H18" s="17">
        <f t="shared" si="1"/>
        <v>781.8</v>
      </c>
      <c r="I18" s="16">
        <v>739.1</v>
      </c>
      <c r="J18" s="16">
        <v>678.7</v>
      </c>
      <c r="K18" s="16">
        <v>599.6</v>
      </c>
      <c r="L18" s="101">
        <v>552.1</v>
      </c>
      <c r="M18" s="17">
        <f>+L18</f>
        <v>552.1</v>
      </c>
      <c r="N18" s="16">
        <v>506.4</v>
      </c>
      <c r="O18" s="16">
        <v>444.3</v>
      </c>
      <c r="P18" s="16">
        <v>398</v>
      </c>
      <c r="Q18" s="101">
        <v>349.9</v>
      </c>
      <c r="R18" s="17">
        <f>+Q18</f>
        <v>349.9</v>
      </c>
      <c r="S18" s="16">
        <v>302.5</v>
      </c>
      <c r="T18" s="16">
        <v>254.7</v>
      </c>
      <c r="U18" s="101">
        <v>203.4</v>
      </c>
      <c r="V18" s="33"/>
      <c r="W18" s="17"/>
      <c r="X18" s="33"/>
      <c r="Y18" s="33"/>
      <c r="Z18" s="33"/>
      <c r="AA18" s="33"/>
      <c r="AB18" s="17"/>
      <c r="AC18" s="33"/>
      <c r="AD18" s="33"/>
      <c r="AE18" s="33"/>
      <c r="AF18" s="33"/>
      <c r="AG18" s="17"/>
      <c r="AH18" s="33"/>
      <c r="AI18" s="33"/>
      <c r="AJ18" s="33"/>
      <c r="AK18" s="33"/>
      <c r="AL18" s="17"/>
      <c r="AM18" s="33"/>
      <c r="AN18" s="33"/>
      <c r="AO18" s="33"/>
      <c r="AP18" s="33"/>
      <c r="AQ18" s="17"/>
      <c r="AR18" s="33"/>
      <c r="AS18" s="33"/>
      <c r="AT18" s="33"/>
      <c r="AU18" s="33"/>
      <c r="AV18" s="17"/>
    </row>
    <row r="19" spans="1:48" ht="16.2" outlineLevel="1" x14ac:dyDescent="0.45">
      <c r="A19" s="162"/>
      <c r="B19" s="392" t="s">
        <v>227</v>
      </c>
      <c r="C19" s="393"/>
      <c r="D19" s="272">
        <v>3560.3</v>
      </c>
      <c r="E19" s="272">
        <v>3603.5</v>
      </c>
      <c r="F19" s="272">
        <v>3564.7</v>
      </c>
      <c r="G19" s="272">
        <v>3490.8</v>
      </c>
      <c r="H19" s="273">
        <f>G19</f>
        <v>3490.8</v>
      </c>
      <c r="I19" s="272">
        <v>3515.9</v>
      </c>
      <c r="J19" s="272">
        <v>3493</v>
      </c>
      <c r="K19" s="272">
        <v>3510.1</v>
      </c>
      <c r="L19" s="112">
        <v>3597.2</v>
      </c>
      <c r="M19" s="273">
        <f>L19</f>
        <v>3597.2</v>
      </c>
      <c r="N19" s="272">
        <v>3706.8</v>
      </c>
      <c r="O19" s="272">
        <v>3658.9</v>
      </c>
      <c r="P19" s="272">
        <v>3672</v>
      </c>
      <c r="Q19" s="112">
        <v>3677.3</v>
      </c>
      <c r="R19" s="273">
        <f>Q19</f>
        <v>3677.3</v>
      </c>
      <c r="S19" s="272">
        <v>3675.7</v>
      </c>
      <c r="T19" s="272">
        <v>3646.1</v>
      </c>
      <c r="U19" s="112">
        <v>3451.2</v>
      </c>
      <c r="V19" s="32"/>
      <c r="W19" s="273"/>
      <c r="X19" s="32"/>
      <c r="Y19" s="32"/>
      <c r="Z19" s="32"/>
      <c r="AA19" s="32"/>
      <c r="AB19" s="273"/>
      <c r="AC19" s="32"/>
      <c r="AD19" s="32"/>
      <c r="AE19" s="32"/>
      <c r="AF19" s="32"/>
      <c r="AG19" s="273"/>
      <c r="AH19" s="32"/>
      <c r="AI19" s="32"/>
      <c r="AJ19" s="32"/>
      <c r="AK19" s="32"/>
      <c r="AL19" s="273"/>
      <c r="AM19" s="32"/>
      <c r="AN19" s="32"/>
      <c r="AO19" s="32"/>
      <c r="AP19" s="32"/>
      <c r="AQ19" s="273"/>
      <c r="AR19" s="32"/>
      <c r="AS19" s="32"/>
      <c r="AT19" s="32"/>
      <c r="AU19" s="32"/>
      <c r="AV19" s="273"/>
    </row>
    <row r="20" spans="1:48" outlineLevel="1" x14ac:dyDescent="0.3">
      <c r="A20" s="162"/>
      <c r="B20" s="426" t="s">
        <v>228</v>
      </c>
      <c r="C20" s="427"/>
      <c r="D20" s="21">
        <f t="shared" ref="D20:AV20" si="2">+SUM(D11:D19)</f>
        <v>19981.3</v>
      </c>
      <c r="E20" s="21">
        <f t="shared" si="2"/>
        <v>17641.900000000001</v>
      </c>
      <c r="F20" s="21">
        <f t="shared" si="2"/>
        <v>20894.500000000004</v>
      </c>
      <c r="G20" s="21">
        <f t="shared" si="2"/>
        <v>19219.400000000001</v>
      </c>
      <c r="H20" s="22">
        <f t="shared" si="2"/>
        <v>19219.400000000001</v>
      </c>
      <c r="I20" s="21">
        <f t="shared" si="2"/>
        <v>27731.300000000007</v>
      </c>
      <c r="J20" s="21">
        <f t="shared" si="2"/>
        <v>27478.9</v>
      </c>
      <c r="K20" s="21">
        <f t="shared" si="2"/>
        <v>29140.600000000002</v>
      </c>
      <c r="L20" s="21">
        <f t="shared" si="2"/>
        <v>29374.500000000004</v>
      </c>
      <c r="M20" s="22">
        <f t="shared" si="2"/>
        <v>29374.500000000004</v>
      </c>
      <c r="N20" s="21">
        <f t="shared" si="2"/>
        <v>29968.30000000001</v>
      </c>
      <c r="O20" s="21">
        <f t="shared" si="2"/>
        <v>28371.600000000013</v>
      </c>
      <c r="P20" s="21">
        <f t="shared" si="2"/>
        <v>29476.800000000007</v>
      </c>
      <c r="Q20" s="21">
        <f t="shared" si="2"/>
        <v>31392.600000000009</v>
      </c>
      <c r="R20" s="22">
        <f t="shared" si="2"/>
        <v>31392.600000000009</v>
      </c>
      <c r="S20" s="21">
        <f t="shared" si="2"/>
        <v>28833.900000000009</v>
      </c>
      <c r="T20" s="21">
        <f t="shared" si="2"/>
        <v>29021.500000000007</v>
      </c>
      <c r="U20" s="21">
        <f t="shared" si="2"/>
        <v>28156.200000000012</v>
      </c>
      <c r="V20" s="21"/>
      <c r="W20" s="22"/>
      <c r="X20" s="21"/>
      <c r="Y20" s="21"/>
      <c r="Z20" s="21"/>
      <c r="AA20" s="21"/>
      <c r="AB20" s="22"/>
      <c r="AC20" s="21"/>
      <c r="AD20" s="21"/>
      <c r="AE20" s="21"/>
      <c r="AF20" s="21"/>
      <c r="AG20" s="22"/>
      <c r="AH20" s="21"/>
      <c r="AI20" s="21"/>
      <c r="AJ20" s="21"/>
      <c r="AK20" s="21"/>
      <c r="AL20" s="22"/>
      <c r="AM20" s="21"/>
      <c r="AN20" s="21"/>
      <c r="AO20" s="21"/>
      <c r="AP20" s="21"/>
      <c r="AQ20" s="22"/>
      <c r="AR20" s="21"/>
      <c r="AS20" s="21"/>
      <c r="AT20" s="21"/>
      <c r="AU20" s="21"/>
      <c r="AV20" s="22"/>
    </row>
    <row r="21" spans="1:48" ht="17.399999999999999" x14ac:dyDescent="0.45">
      <c r="A21" s="162"/>
      <c r="B21" s="388" t="s">
        <v>229</v>
      </c>
      <c r="C21" s="389"/>
      <c r="D21" s="14" t="s">
        <v>19</v>
      </c>
      <c r="E21" s="14" t="s">
        <v>81</v>
      </c>
      <c r="F21" s="14" t="s">
        <v>85</v>
      </c>
      <c r="G21" s="14" t="s">
        <v>95</v>
      </c>
      <c r="H21" s="40" t="s">
        <v>96</v>
      </c>
      <c r="I21" s="14" t="s">
        <v>97</v>
      </c>
      <c r="J21" s="14" t="s">
        <v>98</v>
      </c>
      <c r="K21" s="14" t="s">
        <v>99</v>
      </c>
      <c r="L21" s="14" t="s">
        <v>143</v>
      </c>
      <c r="M21" s="40" t="s">
        <v>144</v>
      </c>
      <c r="N21" s="14" t="s">
        <v>150</v>
      </c>
      <c r="O21" s="14" t="s">
        <v>158</v>
      </c>
      <c r="P21" s="14" t="s">
        <v>160</v>
      </c>
      <c r="Q21" s="14" t="s">
        <v>173</v>
      </c>
      <c r="R21" s="40" t="s">
        <v>174</v>
      </c>
      <c r="S21" s="14" t="s">
        <v>189</v>
      </c>
      <c r="T21" s="14" t="s">
        <v>190</v>
      </c>
      <c r="U21" s="14" t="s">
        <v>205</v>
      </c>
      <c r="V21" s="12" t="s">
        <v>25</v>
      </c>
      <c r="W21" s="42" t="s">
        <v>26</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165</v>
      </c>
      <c r="AN21" s="12" t="s">
        <v>166</v>
      </c>
      <c r="AO21" s="12" t="s">
        <v>167</v>
      </c>
      <c r="AP21" s="12" t="s">
        <v>168</v>
      </c>
      <c r="AQ21" s="42" t="s">
        <v>169</v>
      </c>
      <c r="AR21" s="12" t="s">
        <v>196</v>
      </c>
      <c r="AS21" s="12" t="s">
        <v>197</v>
      </c>
      <c r="AT21" s="12" t="s">
        <v>198</v>
      </c>
      <c r="AU21" s="12" t="s">
        <v>199</v>
      </c>
      <c r="AV21" s="42" t="s">
        <v>200</v>
      </c>
    </row>
    <row r="22" spans="1:48" s="23" customFormat="1" outlineLevel="1" x14ac:dyDescent="0.3">
      <c r="A22" s="162"/>
      <c r="B22" s="392" t="s">
        <v>230</v>
      </c>
      <c r="C22" s="393"/>
      <c r="D22" s="101">
        <v>1100.5</v>
      </c>
      <c r="E22" s="101">
        <v>1096.7</v>
      </c>
      <c r="F22" s="101">
        <v>1145.4000000000001</v>
      </c>
      <c r="G22" s="101">
        <v>1189.7</v>
      </c>
      <c r="H22" s="170">
        <f t="shared" ref="H22:H29" si="3">G22</f>
        <v>1189.7</v>
      </c>
      <c r="I22" s="101">
        <v>1085.5999999999999</v>
      </c>
      <c r="J22" s="101">
        <v>997.7</v>
      </c>
      <c r="K22" s="101">
        <v>860.8</v>
      </c>
      <c r="L22" s="101">
        <v>997.9</v>
      </c>
      <c r="M22" s="170">
        <f t="shared" ref="M22:M29" si="4">L22</f>
        <v>997.9</v>
      </c>
      <c r="N22" s="101">
        <v>1050.5999999999999</v>
      </c>
      <c r="O22" s="101">
        <v>1033.5999999999999</v>
      </c>
      <c r="P22" s="101">
        <v>1127</v>
      </c>
      <c r="Q22" s="101">
        <v>1211.5999999999999</v>
      </c>
      <c r="R22" s="170">
        <f t="shared" ref="R22:R29" si="5">Q22</f>
        <v>1211.5999999999999</v>
      </c>
      <c r="S22" s="101">
        <v>1289.4000000000001</v>
      </c>
      <c r="T22" s="101">
        <v>1329.5</v>
      </c>
      <c r="U22" s="101">
        <v>1489.8</v>
      </c>
      <c r="V22" s="101"/>
      <c r="W22" s="170"/>
      <c r="X22" s="101"/>
      <c r="Y22" s="101"/>
      <c r="Z22" s="101"/>
      <c r="AA22" s="101"/>
      <c r="AB22" s="170"/>
      <c r="AC22" s="101"/>
      <c r="AD22" s="101"/>
      <c r="AE22" s="101"/>
      <c r="AF22" s="101"/>
      <c r="AG22" s="170"/>
      <c r="AH22" s="101"/>
      <c r="AI22" s="101"/>
      <c r="AJ22" s="101"/>
      <c r="AK22" s="101"/>
      <c r="AL22" s="170"/>
      <c r="AM22" s="101"/>
      <c r="AN22" s="101"/>
      <c r="AO22" s="101"/>
      <c r="AP22" s="101"/>
      <c r="AQ22" s="170"/>
      <c r="AR22" s="101"/>
      <c r="AS22" s="101"/>
      <c r="AT22" s="101"/>
      <c r="AU22" s="101"/>
      <c r="AV22" s="170"/>
    </row>
    <row r="23" spans="1:48" outlineLevel="1" x14ac:dyDescent="0.3">
      <c r="A23" s="162"/>
      <c r="B23" s="392" t="s">
        <v>231</v>
      </c>
      <c r="C23" s="393"/>
      <c r="D23" s="101">
        <v>2564</v>
      </c>
      <c r="E23" s="101">
        <v>2569.3000000000002</v>
      </c>
      <c r="F23" s="101">
        <v>3238.7</v>
      </c>
      <c r="G23" s="101">
        <v>1753.7</v>
      </c>
      <c r="H23" s="170">
        <f t="shared" si="3"/>
        <v>1753.7</v>
      </c>
      <c r="I23" s="101">
        <v>1637.8</v>
      </c>
      <c r="J23" s="101">
        <v>1539</v>
      </c>
      <c r="K23" s="101">
        <v>1511.7</v>
      </c>
      <c r="L23" s="101">
        <v>1160.7</v>
      </c>
      <c r="M23" s="170">
        <f t="shared" si="4"/>
        <v>1160.7</v>
      </c>
      <c r="N23" s="101">
        <v>1616.9</v>
      </c>
      <c r="O23" s="101">
        <v>1771.6</v>
      </c>
      <c r="P23" s="101">
        <v>1791.4</v>
      </c>
      <c r="Q23" s="101">
        <v>1973.2</v>
      </c>
      <c r="R23" s="170">
        <f t="shared" si="5"/>
        <v>1973.2</v>
      </c>
      <c r="S23" s="101">
        <v>2444.3000000000002</v>
      </c>
      <c r="T23" s="101">
        <v>2092.4</v>
      </c>
      <c r="U23" s="101">
        <v>2068.9</v>
      </c>
      <c r="V23" s="33"/>
      <c r="W23" s="170"/>
      <c r="X23" s="33"/>
      <c r="Y23" s="33"/>
      <c r="Z23" s="33"/>
      <c r="AA23" s="33"/>
      <c r="AB23" s="170"/>
      <c r="AC23" s="33"/>
      <c r="AD23" s="33"/>
      <c r="AE23" s="33"/>
      <c r="AF23" s="33"/>
      <c r="AG23" s="170"/>
      <c r="AH23" s="33"/>
      <c r="AI23" s="33"/>
      <c r="AJ23" s="33"/>
      <c r="AK23" s="33"/>
      <c r="AL23" s="170"/>
      <c r="AM23" s="33"/>
      <c r="AN23" s="33"/>
      <c r="AO23" s="33"/>
      <c r="AP23" s="33"/>
      <c r="AQ23" s="170"/>
      <c r="AR23" s="33"/>
      <c r="AS23" s="33"/>
      <c r="AT23" s="33"/>
      <c r="AU23" s="33"/>
      <c r="AV23" s="170"/>
    </row>
    <row r="24" spans="1:48" outlineLevel="1" x14ac:dyDescent="0.3">
      <c r="A24" s="162"/>
      <c r="B24" s="210" t="s">
        <v>232</v>
      </c>
      <c r="C24" s="211"/>
      <c r="D24" s="101">
        <v>0</v>
      </c>
      <c r="E24" s="101">
        <v>0</v>
      </c>
      <c r="F24" s="101">
        <v>0</v>
      </c>
      <c r="G24" s="101">
        <v>664.6</v>
      </c>
      <c r="H24" s="170">
        <f t="shared" si="3"/>
        <v>664.6</v>
      </c>
      <c r="I24" s="101">
        <v>578.5</v>
      </c>
      <c r="J24" s="101">
        <v>596.1</v>
      </c>
      <c r="K24" s="101">
        <v>652.1</v>
      </c>
      <c r="L24" s="101">
        <v>696</v>
      </c>
      <c r="M24" s="170">
        <f t="shared" si="4"/>
        <v>696</v>
      </c>
      <c r="N24" s="101">
        <v>685.3</v>
      </c>
      <c r="O24" s="101">
        <v>646.1</v>
      </c>
      <c r="P24" s="101">
        <v>741</v>
      </c>
      <c r="Q24" s="101">
        <v>772.3</v>
      </c>
      <c r="R24" s="170">
        <f t="shared" si="5"/>
        <v>772.3</v>
      </c>
      <c r="S24" s="101">
        <v>664.1</v>
      </c>
      <c r="T24" s="101">
        <v>665.9</v>
      </c>
      <c r="U24" s="101">
        <v>706.8</v>
      </c>
      <c r="V24" s="33"/>
      <c r="W24" s="170"/>
      <c r="X24" s="33"/>
      <c r="Y24" s="33"/>
      <c r="Z24" s="33"/>
      <c r="AA24" s="33"/>
      <c r="AB24" s="170"/>
      <c r="AC24" s="33"/>
      <c r="AD24" s="33"/>
      <c r="AE24" s="33"/>
      <c r="AF24" s="33"/>
      <c r="AG24" s="170"/>
      <c r="AH24" s="33"/>
      <c r="AI24" s="33"/>
      <c r="AJ24" s="33"/>
      <c r="AK24" s="33"/>
      <c r="AL24" s="170"/>
      <c r="AM24" s="33"/>
      <c r="AN24" s="33"/>
      <c r="AO24" s="33"/>
      <c r="AP24" s="33"/>
      <c r="AQ24" s="170"/>
      <c r="AR24" s="33"/>
      <c r="AS24" s="33"/>
      <c r="AT24" s="33"/>
      <c r="AU24" s="33"/>
      <c r="AV24" s="170"/>
    </row>
    <row r="25" spans="1:48" outlineLevel="1" x14ac:dyDescent="0.3">
      <c r="A25" s="162"/>
      <c r="B25" s="210" t="s">
        <v>233</v>
      </c>
      <c r="C25" s="211"/>
      <c r="D25" s="101">
        <v>0</v>
      </c>
      <c r="E25" s="101">
        <v>0</v>
      </c>
      <c r="F25" s="101">
        <v>0</v>
      </c>
      <c r="G25" s="101">
        <v>1291.7</v>
      </c>
      <c r="H25" s="170">
        <f t="shared" si="3"/>
        <v>1291.7</v>
      </c>
      <c r="I25" s="101">
        <v>1414</v>
      </c>
      <c r="J25" s="101">
        <v>86.7</v>
      </c>
      <c r="K25" s="101">
        <v>90.9</v>
      </c>
      <c r="L25" s="101">
        <v>98.2</v>
      </c>
      <c r="M25" s="170">
        <f t="shared" si="4"/>
        <v>98.2</v>
      </c>
      <c r="N25" s="101">
        <v>149.69999999999999</v>
      </c>
      <c r="O25" s="101">
        <v>117</v>
      </c>
      <c r="P25" s="101">
        <v>204.8</v>
      </c>
      <c r="Q25" s="101">
        <v>348</v>
      </c>
      <c r="R25" s="170">
        <f t="shared" si="5"/>
        <v>348</v>
      </c>
      <c r="S25" s="101"/>
      <c r="T25" s="101">
        <f>S25</f>
        <v>0</v>
      </c>
      <c r="U25" s="101">
        <f>T25</f>
        <v>0</v>
      </c>
      <c r="V25" s="33"/>
      <c r="W25" s="170"/>
      <c r="X25" s="33"/>
      <c r="Y25" s="33"/>
      <c r="Z25" s="33"/>
      <c r="AA25" s="33"/>
      <c r="AB25" s="170"/>
      <c r="AC25" s="33"/>
      <c r="AD25" s="33"/>
      <c r="AE25" s="33"/>
      <c r="AF25" s="33"/>
      <c r="AG25" s="170"/>
      <c r="AH25" s="33"/>
      <c r="AI25" s="33"/>
      <c r="AJ25" s="33"/>
      <c r="AK25" s="33"/>
      <c r="AL25" s="170"/>
      <c r="AM25" s="33"/>
      <c r="AN25" s="33"/>
      <c r="AO25" s="33"/>
      <c r="AP25" s="33"/>
      <c r="AQ25" s="170"/>
      <c r="AR25" s="33"/>
      <c r="AS25" s="33"/>
      <c r="AT25" s="33"/>
      <c r="AU25" s="33"/>
      <c r="AV25" s="170"/>
    </row>
    <row r="26" spans="1:48" outlineLevel="1" x14ac:dyDescent="0.3">
      <c r="A26" s="162"/>
      <c r="B26" s="210" t="s">
        <v>234</v>
      </c>
      <c r="C26" s="211"/>
      <c r="D26" s="101">
        <v>0</v>
      </c>
      <c r="E26" s="101">
        <v>0</v>
      </c>
      <c r="F26" s="101">
        <v>0</v>
      </c>
      <c r="G26" s="101">
        <v>0</v>
      </c>
      <c r="H26" s="170">
        <f t="shared" si="3"/>
        <v>0</v>
      </c>
      <c r="I26" s="101">
        <v>1268.9000000000001</v>
      </c>
      <c r="J26" s="101">
        <v>1253.5</v>
      </c>
      <c r="K26" s="101">
        <v>1237.0999999999999</v>
      </c>
      <c r="L26" s="101">
        <v>1248.8</v>
      </c>
      <c r="M26" s="170">
        <f t="shared" si="4"/>
        <v>1248.8</v>
      </c>
      <c r="N26" s="101">
        <v>1267.5999999999999</v>
      </c>
      <c r="O26" s="101">
        <v>1296.4000000000001</v>
      </c>
      <c r="P26" s="101">
        <v>1308.4000000000001</v>
      </c>
      <c r="Q26" s="101">
        <v>1251.3</v>
      </c>
      <c r="R26" s="170">
        <f t="shared" si="5"/>
        <v>1251.3</v>
      </c>
      <c r="S26" s="101">
        <v>1253.3</v>
      </c>
      <c r="T26" s="101">
        <v>1236.3</v>
      </c>
      <c r="U26" s="101">
        <v>1214.8</v>
      </c>
      <c r="V26" s="33"/>
      <c r="W26" s="170"/>
      <c r="X26" s="33"/>
      <c r="Y26" s="33"/>
      <c r="Z26" s="33"/>
      <c r="AA26" s="33"/>
      <c r="AB26" s="170"/>
      <c r="AC26" s="33"/>
      <c r="AD26" s="33"/>
      <c r="AE26" s="33"/>
      <c r="AF26" s="33"/>
      <c r="AG26" s="170"/>
      <c r="AH26" s="33"/>
      <c r="AI26" s="33"/>
      <c r="AJ26" s="33"/>
      <c r="AK26" s="33"/>
      <c r="AL26" s="170"/>
      <c r="AM26" s="33"/>
      <c r="AN26" s="33"/>
      <c r="AO26" s="33"/>
      <c r="AP26" s="33"/>
      <c r="AQ26" s="170"/>
      <c r="AR26" s="33"/>
      <c r="AS26" s="33"/>
      <c r="AT26" s="33"/>
      <c r="AU26" s="33"/>
      <c r="AV26" s="170"/>
    </row>
    <row r="27" spans="1:48" outlineLevel="1" x14ac:dyDescent="0.3">
      <c r="A27" s="162"/>
      <c r="B27" s="210" t="s">
        <v>235</v>
      </c>
      <c r="C27" s="211"/>
      <c r="D27" s="101">
        <v>1554.2</v>
      </c>
      <c r="E27" s="101">
        <v>1311.4</v>
      </c>
      <c r="F27" s="101">
        <v>1300.2</v>
      </c>
      <c r="G27" s="101">
        <v>1269</v>
      </c>
      <c r="H27" s="170">
        <f t="shared" si="3"/>
        <v>1269</v>
      </c>
      <c r="I27" s="101">
        <v>1694.1</v>
      </c>
      <c r="J27" s="101">
        <v>1436.3</v>
      </c>
      <c r="K27" s="101">
        <v>1463.3</v>
      </c>
      <c r="L27" s="101">
        <v>1456.5</v>
      </c>
      <c r="M27" s="170">
        <f t="shared" si="4"/>
        <v>1456.5</v>
      </c>
      <c r="N27" s="101">
        <v>1871.2</v>
      </c>
      <c r="O27" s="101">
        <v>1622.1</v>
      </c>
      <c r="P27" s="101">
        <v>1628.3</v>
      </c>
      <c r="Q27" s="101">
        <v>1596.1</v>
      </c>
      <c r="R27" s="170">
        <f t="shared" si="5"/>
        <v>1596.1</v>
      </c>
      <c r="S27" s="101">
        <v>2070.6999999999998</v>
      </c>
      <c r="T27" s="101">
        <v>1781.6</v>
      </c>
      <c r="U27" s="101">
        <v>1723</v>
      </c>
      <c r="V27" s="33"/>
      <c r="W27" s="170"/>
      <c r="X27" s="33"/>
      <c r="Y27" s="33"/>
      <c r="Z27" s="33"/>
      <c r="AA27" s="33"/>
      <c r="AB27" s="170"/>
      <c r="AC27" s="33"/>
      <c r="AD27" s="33"/>
      <c r="AE27" s="33"/>
      <c r="AF27" s="33"/>
      <c r="AG27" s="170"/>
      <c r="AH27" s="33"/>
      <c r="AI27" s="33"/>
      <c r="AJ27" s="33"/>
      <c r="AK27" s="33"/>
      <c r="AL27" s="170"/>
      <c r="AM27" s="33"/>
      <c r="AN27" s="33"/>
      <c r="AO27" s="33"/>
      <c r="AP27" s="33"/>
      <c r="AQ27" s="170"/>
      <c r="AR27" s="33"/>
      <c r="AS27" s="33"/>
      <c r="AT27" s="33"/>
      <c r="AU27" s="33"/>
      <c r="AV27" s="170"/>
    </row>
    <row r="28" spans="1:48" outlineLevel="1" x14ac:dyDescent="0.3">
      <c r="A28" s="162"/>
      <c r="B28" s="210" t="s">
        <v>236</v>
      </c>
      <c r="C28" s="211"/>
      <c r="D28" s="101">
        <v>0</v>
      </c>
      <c r="E28" s="101">
        <f>75+0</f>
        <v>75</v>
      </c>
      <c r="F28" s="101">
        <v>0</v>
      </c>
      <c r="G28" s="101">
        <v>0</v>
      </c>
      <c r="H28" s="170">
        <f t="shared" si="3"/>
        <v>0</v>
      </c>
      <c r="I28" s="101">
        <f>497.9+498.7</f>
        <v>996.59999999999991</v>
      </c>
      <c r="J28" s="101">
        <f>1107.1+1249.4</f>
        <v>2356.5</v>
      </c>
      <c r="K28" s="101">
        <f>936.5+1249.6</f>
        <v>2186.1</v>
      </c>
      <c r="L28" s="101">
        <f>438.8+1249.9</f>
        <v>1688.7</v>
      </c>
      <c r="M28" s="170">
        <f t="shared" si="4"/>
        <v>1688.7</v>
      </c>
      <c r="N28" s="101">
        <f>492.6+750</f>
        <v>1242.5999999999999</v>
      </c>
      <c r="O28" s="101">
        <v>18.3</v>
      </c>
      <c r="P28" s="101">
        <v>998.9</v>
      </c>
      <c r="Q28" s="101">
        <v>998.9</v>
      </c>
      <c r="R28" s="170">
        <f t="shared" si="5"/>
        <v>998.9</v>
      </c>
      <c r="S28" s="101">
        <f>200+999.3</f>
        <v>1199.3</v>
      </c>
      <c r="T28" s="101">
        <v>1998.6</v>
      </c>
      <c r="U28" s="101">
        <f>200+999.1</f>
        <v>1199.0999999999999</v>
      </c>
      <c r="V28" s="33"/>
      <c r="W28" s="170"/>
      <c r="X28" s="33"/>
      <c r="Y28" s="33"/>
      <c r="Z28" s="33"/>
      <c r="AA28" s="33"/>
      <c r="AB28" s="170"/>
      <c r="AC28" s="33"/>
      <c r="AD28" s="33"/>
      <c r="AE28" s="33"/>
      <c r="AF28" s="33"/>
      <c r="AG28" s="170"/>
      <c r="AH28" s="33"/>
      <c r="AI28" s="33"/>
      <c r="AJ28" s="33"/>
      <c r="AK28" s="33"/>
      <c r="AL28" s="170"/>
      <c r="AM28" s="33"/>
      <c r="AN28" s="33"/>
      <c r="AO28" s="33"/>
      <c r="AP28" s="33"/>
      <c r="AQ28" s="170"/>
      <c r="AR28" s="33"/>
      <c r="AS28" s="33"/>
      <c r="AT28" s="33"/>
      <c r="AU28" s="33"/>
      <c r="AV28" s="170"/>
    </row>
    <row r="29" spans="1:48" ht="16.2" outlineLevel="1" x14ac:dyDescent="0.45">
      <c r="A29" s="162"/>
      <c r="B29" s="210" t="s">
        <v>237</v>
      </c>
      <c r="C29" s="211"/>
      <c r="D29" s="112">
        <v>208.8</v>
      </c>
      <c r="E29" s="112">
        <v>221</v>
      </c>
      <c r="F29" s="112">
        <v>211.5</v>
      </c>
      <c r="G29" s="112">
        <v>0</v>
      </c>
      <c r="H29" s="274">
        <f t="shared" si="3"/>
        <v>0</v>
      </c>
      <c r="I29" s="112">
        <v>0</v>
      </c>
      <c r="J29" s="112">
        <v>0</v>
      </c>
      <c r="K29" s="112">
        <v>0</v>
      </c>
      <c r="L29" s="112">
        <v>0</v>
      </c>
      <c r="M29" s="274">
        <f t="shared" si="4"/>
        <v>0</v>
      </c>
      <c r="N29" s="112">
        <v>0</v>
      </c>
      <c r="O29" s="112">
        <v>0</v>
      </c>
      <c r="P29" s="112">
        <v>0</v>
      </c>
      <c r="Q29" s="112">
        <v>0</v>
      </c>
      <c r="R29" s="274">
        <f t="shared" si="5"/>
        <v>0</v>
      </c>
      <c r="S29" s="112">
        <v>0</v>
      </c>
      <c r="T29" s="112">
        <v>0</v>
      </c>
      <c r="U29" s="112">
        <v>0</v>
      </c>
      <c r="V29" s="32"/>
      <c r="W29" s="274"/>
      <c r="X29" s="32"/>
      <c r="Y29" s="32"/>
      <c r="Z29" s="32"/>
      <c r="AA29" s="32"/>
      <c r="AB29" s="274"/>
      <c r="AC29" s="32"/>
      <c r="AD29" s="32"/>
      <c r="AE29" s="32"/>
      <c r="AF29" s="32"/>
      <c r="AG29" s="274"/>
      <c r="AH29" s="32"/>
      <c r="AI29" s="32"/>
      <c r="AJ29" s="32"/>
      <c r="AK29" s="32"/>
      <c r="AL29" s="274"/>
      <c r="AM29" s="32"/>
      <c r="AN29" s="32"/>
      <c r="AO29" s="32"/>
      <c r="AP29" s="32"/>
      <c r="AQ29" s="274"/>
      <c r="AR29" s="32"/>
      <c r="AS29" s="32"/>
      <c r="AT29" s="32"/>
      <c r="AU29" s="32"/>
      <c r="AV29" s="274"/>
    </row>
    <row r="30" spans="1:48" outlineLevel="1" x14ac:dyDescent="0.3">
      <c r="A30" s="162"/>
      <c r="B30" s="215" t="s">
        <v>238</v>
      </c>
      <c r="C30" s="211"/>
      <c r="D30" s="116">
        <f t="shared" ref="D30:K30" si="6">SUM(D22:D29)</f>
        <v>5427.5</v>
      </c>
      <c r="E30" s="116">
        <f t="shared" si="6"/>
        <v>5273.4</v>
      </c>
      <c r="F30" s="116">
        <f t="shared" si="6"/>
        <v>5895.8</v>
      </c>
      <c r="G30" s="116">
        <f t="shared" si="6"/>
        <v>6168.7</v>
      </c>
      <c r="H30" s="151">
        <f t="shared" si="6"/>
        <v>6168.7</v>
      </c>
      <c r="I30" s="116">
        <f t="shared" si="6"/>
        <v>8675.5</v>
      </c>
      <c r="J30" s="116">
        <f t="shared" si="6"/>
        <v>8265.7999999999993</v>
      </c>
      <c r="K30" s="116">
        <f t="shared" si="6"/>
        <v>8002</v>
      </c>
      <c r="L30" s="116">
        <f t="shared" ref="L30:AV30" si="7">SUM(L22:L28)</f>
        <v>7346.7999999999993</v>
      </c>
      <c r="M30" s="151">
        <f t="shared" si="7"/>
        <v>7346.7999999999993</v>
      </c>
      <c r="N30" s="116">
        <f t="shared" si="7"/>
        <v>7883.9</v>
      </c>
      <c r="O30" s="116">
        <f t="shared" si="7"/>
        <v>6505.0999999999995</v>
      </c>
      <c r="P30" s="116">
        <f t="shared" si="7"/>
        <v>7799.8</v>
      </c>
      <c r="Q30" s="116">
        <f t="shared" si="7"/>
        <v>8151.4</v>
      </c>
      <c r="R30" s="151">
        <f t="shared" si="7"/>
        <v>8151.4</v>
      </c>
      <c r="S30" s="116">
        <f t="shared" si="7"/>
        <v>8921.1</v>
      </c>
      <c r="T30" s="116">
        <f t="shared" si="7"/>
        <v>9104.3000000000011</v>
      </c>
      <c r="U30" s="116">
        <f t="shared" si="7"/>
        <v>8402.4</v>
      </c>
      <c r="V30" s="116"/>
      <c r="W30" s="151"/>
      <c r="X30" s="116"/>
      <c r="Y30" s="116"/>
      <c r="Z30" s="116"/>
      <c r="AA30" s="116"/>
      <c r="AB30" s="151"/>
      <c r="AC30" s="116"/>
      <c r="AD30" s="116"/>
      <c r="AE30" s="116"/>
      <c r="AF30" s="116"/>
      <c r="AG30" s="151"/>
      <c r="AH30" s="116"/>
      <c r="AI30" s="116"/>
      <c r="AJ30" s="116"/>
      <c r="AK30" s="116"/>
      <c r="AL30" s="151"/>
      <c r="AM30" s="116"/>
      <c r="AN30" s="116"/>
      <c r="AO30" s="116"/>
      <c r="AP30" s="116"/>
      <c r="AQ30" s="151"/>
      <c r="AR30" s="116"/>
      <c r="AS30" s="116"/>
      <c r="AT30" s="116"/>
      <c r="AU30" s="116"/>
      <c r="AV30" s="151"/>
    </row>
    <row r="31" spans="1:48" outlineLevel="1" x14ac:dyDescent="0.3">
      <c r="A31" s="162"/>
      <c r="B31" s="210" t="s">
        <v>239</v>
      </c>
      <c r="C31" s="211"/>
      <c r="D31" s="101">
        <v>9130.7000000000007</v>
      </c>
      <c r="E31" s="101">
        <v>9141.5</v>
      </c>
      <c r="F31" s="101">
        <v>11159.1</v>
      </c>
      <c r="G31" s="101">
        <v>11167</v>
      </c>
      <c r="H31" s="170">
        <f>G31</f>
        <v>11167</v>
      </c>
      <c r="I31" s="101">
        <v>10653.2</v>
      </c>
      <c r="J31" s="101">
        <v>11658.7</v>
      </c>
      <c r="K31" s="101">
        <v>14645.6</v>
      </c>
      <c r="L31" s="101">
        <v>14659.6</v>
      </c>
      <c r="M31" s="170">
        <f>L31</f>
        <v>14659.6</v>
      </c>
      <c r="N31" s="101">
        <v>14673.5</v>
      </c>
      <c r="O31" s="101">
        <v>14630.3</v>
      </c>
      <c r="P31" s="101">
        <v>13619.2</v>
      </c>
      <c r="Q31" s="101">
        <v>13616.9</v>
      </c>
      <c r="R31" s="170">
        <f>Q31</f>
        <v>13616.9</v>
      </c>
      <c r="S31" s="101">
        <v>13586.3</v>
      </c>
      <c r="T31" s="101">
        <v>14014.4</v>
      </c>
      <c r="U31" s="101">
        <v>13930.8</v>
      </c>
      <c r="V31" s="33"/>
      <c r="W31" s="170"/>
      <c r="X31" s="33"/>
      <c r="Y31" s="33"/>
      <c r="Z31" s="33"/>
      <c r="AA31" s="33"/>
      <c r="AB31" s="170"/>
      <c r="AC31" s="33"/>
      <c r="AD31" s="33"/>
      <c r="AE31" s="33"/>
      <c r="AF31" s="33"/>
      <c r="AG31" s="170"/>
      <c r="AH31" s="33"/>
      <c r="AI31" s="33"/>
      <c r="AJ31" s="33"/>
      <c r="AK31" s="33"/>
      <c r="AL31" s="170"/>
      <c r="AM31" s="33"/>
      <c r="AN31" s="33"/>
      <c r="AO31" s="33"/>
      <c r="AP31" s="33"/>
      <c r="AQ31" s="170"/>
      <c r="AR31" s="33"/>
      <c r="AS31" s="33"/>
      <c r="AT31" s="33"/>
      <c r="AU31" s="33"/>
      <c r="AV31" s="170"/>
    </row>
    <row r="32" spans="1:48" outlineLevel="1" x14ac:dyDescent="0.3">
      <c r="A32" s="162"/>
      <c r="B32" s="210" t="s">
        <v>240</v>
      </c>
      <c r="C32" s="217"/>
      <c r="D32" s="101">
        <v>0</v>
      </c>
      <c r="E32" s="101">
        <v>0</v>
      </c>
      <c r="F32" s="101">
        <v>0</v>
      </c>
      <c r="G32" s="101">
        <v>0</v>
      </c>
      <c r="H32" s="170">
        <f>G32</f>
        <v>0</v>
      </c>
      <c r="I32" s="101">
        <v>7711.7</v>
      </c>
      <c r="J32" s="101">
        <v>7650.4</v>
      </c>
      <c r="K32" s="101">
        <v>7653.6</v>
      </c>
      <c r="L32" s="101">
        <v>7661.7</v>
      </c>
      <c r="M32" s="170">
        <f>L32</f>
        <v>7661.7</v>
      </c>
      <c r="N32" s="101">
        <v>7754.5</v>
      </c>
      <c r="O32" s="101">
        <v>7577.7</v>
      </c>
      <c r="P32" s="101">
        <v>7597.8</v>
      </c>
      <c r="Q32" s="101">
        <v>7738</v>
      </c>
      <c r="R32" s="170">
        <f>Q32</f>
        <v>7738</v>
      </c>
      <c r="S32" s="101">
        <v>7708</v>
      </c>
      <c r="T32" s="101">
        <v>7668.5</v>
      </c>
      <c r="U32" s="101">
        <v>7554.4</v>
      </c>
      <c r="V32" s="33"/>
      <c r="W32" s="170"/>
      <c r="X32" s="33"/>
      <c r="Y32" s="33"/>
      <c r="Z32" s="33"/>
      <c r="AA32" s="33"/>
      <c r="AB32" s="170"/>
      <c r="AC32" s="33"/>
      <c r="AD32" s="33"/>
      <c r="AE32" s="33"/>
      <c r="AF32" s="33"/>
      <c r="AG32" s="170"/>
      <c r="AH32" s="33"/>
      <c r="AI32" s="33"/>
      <c r="AJ32" s="33"/>
      <c r="AK32" s="33"/>
      <c r="AL32" s="170"/>
      <c r="AM32" s="33"/>
      <c r="AN32" s="33"/>
      <c r="AO32" s="33"/>
      <c r="AP32" s="33"/>
      <c r="AQ32" s="170"/>
      <c r="AR32" s="33"/>
      <c r="AS32" s="33"/>
      <c r="AT32" s="33"/>
      <c r="AU32" s="33"/>
      <c r="AV32" s="170"/>
    </row>
    <row r="33" spans="1:48" outlineLevel="1" x14ac:dyDescent="0.3">
      <c r="A33" s="162"/>
      <c r="B33" s="210" t="s">
        <v>241</v>
      </c>
      <c r="C33" s="217"/>
      <c r="D33" s="101">
        <v>6823.7</v>
      </c>
      <c r="E33" s="101">
        <v>6761.9</v>
      </c>
      <c r="F33" s="101">
        <v>6717.9</v>
      </c>
      <c r="G33" s="101">
        <v>6744.4</v>
      </c>
      <c r="H33" s="170">
        <f>G33</f>
        <v>6744.4</v>
      </c>
      <c r="I33" s="101">
        <v>6748.8</v>
      </c>
      <c r="J33" s="101">
        <v>6685.5</v>
      </c>
      <c r="K33" s="101">
        <v>6642.6</v>
      </c>
      <c r="L33" s="101">
        <v>6598.5</v>
      </c>
      <c r="M33" s="170">
        <f>L33</f>
        <v>6598.5</v>
      </c>
      <c r="N33" s="101">
        <v>6597.7</v>
      </c>
      <c r="O33" s="101">
        <v>6532.1</v>
      </c>
      <c r="P33" s="101">
        <v>6491.4</v>
      </c>
      <c r="Q33" s="101">
        <v>6463</v>
      </c>
      <c r="R33" s="170">
        <f>Q33</f>
        <v>6463</v>
      </c>
      <c r="S33" s="101">
        <v>6447.7</v>
      </c>
      <c r="T33" s="101">
        <v>6381.9</v>
      </c>
      <c r="U33" s="101">
        <v>6333.1</v>
      </c>
      <c r="V33" s="33"/>
      <c r="W33" s="170"/>
      <c r="X33" s="33"/>
      <c r="Y33" s="33"/>
      <c r="Z33" s="33"/>
      <c r="AA33" s="33"/>
      <c r="AB33" s="170"/>
      <c r="AC33" s="33"/>
      <c r="AD33" s="33"/>
      <c r="AE33" s="33"/>
      <c r="AF33" s="33"/>
      <c r="AG33" s="170"/>
      <c r="AH33" s="33"/>
      <c r="AI33" s="33"/>
      <c r="AJ33" s="33"/>
      <c r="AK33" s="33"/>
      <c r="AL33" s="170"/>
      <c r="AM33" s="33"/>
      <c r="AN33" s="33"/>
      <c r="AO33" s="33"/>
      <c r="AP33" s="33"/>
      <c r="AQ33" s="170"/>
      <c r="AR33" s="33"/>
      <c r="AS33" s="33"/>
      <c r="AT33" s="33"/>
      <c r="AU33" s="33"/>
      <c r="AV33" s="170"/>
    </row>
    <row r="34" spans="1:48" ht="15.75" customHeight="1" outlineLevel="1" x14ac:dyDescent="0.45">
      <c r="A34" s="162"/>
      <c r="B34" s="392" t="s">
        <v>242</v>
      </c>
      <c r="C34" s="393"/>
      <c r="D34" s="112">
        <v>1478.2</v>
      </c>
      <c r="E34" s="112">
        <v>1500.3</v>
      </c>
      <c r="F34" s="112">
        <v>1440.6</v>
      </c>
      <c r="G34" s="112">
        <v>1370.5</v>
      </c>
      <c r="H34" s="274">
        <f>G34</f>
        <v>1370.5</v>
      </c>
      <c r="I34" s="112">
        <v>701.2</v>
      </c>
      <c r="J34" s="112">
        <v>751.4</v>
      </c>
      <c r="K34" s="112">
        <v>821.1</v>
      </c>
      <c r="L34" s="112">
        <v>907.3</v>
      </c>
      <c r="M34" s="274">
        <f>L34</f>
        <v>907.3</v>
      </c>
      <c r="N34" s="112">
        <v>962.8</v>
      </c>
      <c r="O34" s="112">
        <v>774.8</v>
      </c>
      <c r="P34" s="112">
        <v>762.9</v>
      </c>
      <c r="Q34" s="112">
        <v>737.8</v>
      </c>
      <c r="R34" s="274">
        <f>Q34</f>
        <v>737.8</v>
      </c>
      <c r="S34" s="112">
        <v>621.1</v>
      </c>
      <c r="T34" s="112">
        <v>613.6</v>
      </c>
      <c r="U34" s="112">
        <v>594.4</v>
      </c>
      <c r="V34" s="32"/>
      <c r="W34" s="274"/>
      <c r="X34" s="32"/>
      <c r="Y34" s="32"/>
      <c r="Z34" s="32"/>
      <c r="AA34" s="32"/>
      <c r="AB34" s="274"/>
      <c r="AC34" s="32"/>
      <c r="AD34" s="32"/>
      <c r="AE34" s="32"/>
      <c r="AF34" s="32"/>
      <c r="AG34" s="274"/>
      <c r="AH34" s="32"/>
      <c r="AI34" s="32"/>
      <c r="AJ34" s="32"/>
      <c r="AK34" s="32"/>
      <c r="AL34" s="274"/>
      <c r="AM34" s="32"/>
      <c r="AN34" s="32"/>
      <c r="AO34" s="32"/>
      <c r="AP34" s="32"/>
      <c r="AQ34" s="274"/>
      <c r="AR34" s="32"/>
      <c r="AS34" s="32"/>
      <c r="AT34" s="32"/>
      <c r="AU34" s="32"/>
      <c r="AV34" s="274"/>
    </row>
    <row r="35" spans="1:48" outlineLevel="1" x14ac:dyDescent="0.3">
      <c r="A35" s="162"/>
      <c r="B35" s="426" t="s">
        <v>243</v>
      </c>
      <c r="C35" s="427"/>
      <c r="D35" s="116">
        <f t="shared" ref="D35:AV35" si="8">SUM(D30:D34)</f>
        <v>22860.100000000002</v>
      </c>
      <c r="E35" s="116">
        <f t="shared" si="8"/>
        <v>22677.1</v>
      </c>
      <c r="F35" s="116">
        <f t="shared" si="8"/>
        <v>25213.4</v>
      </c>
      <c r="G35" s="116">
        <f t="shared" si="8"/>
        <v>25450.6</v>
      </c>
      <c r="H35" s="151">
        <f t="shared" si="8"/>
        <v>25450.6</v>
      </c>
      <c r="I35" s="116">
        <f t="shared" si="8"/>
        <v>34490.400000000001</v>
      </c>
      <c r="J35" s="116">
        <f t="shared" si="8"/>
        <v>35011.800000000003</v>
      </c>
      <c r="K35" s="116">
        <f t="shared" si="8"/>
        <v>37764.899999999994</v>
      </c>
      <c r="L35" s="116">
        <f t="shared" si="8"/>
        <v>37173.900000000009</v>
      </c>
      <c r="M35" s="151">
        <f t="shared" si="8"/>
        <v>37173.900000000009</v>
      </c>
      <c r="N35" s="116">
        <f t="shared" si="8"/>
        <v>37872.400000000001</v>
      </c>
      <c r="O35" s="116">
        <f t="shared" si="8"/>
        <v>36020</v>
      </c>
      <c r="P35" s="116">
        <f t="shared" si="8"/>
        <v>36271.1</v>
      </c>
      <c r="Q35" s="116">
        <f t="shared" si="8"/>
        <v>36707.100000000006</v>
      </c>
      <c r="R35" s="151">
        <f t="shared" si="8"/>
        <v>36707.100000000006</v>
      </c>
      <c r="S35" s="116">
        <f t="shared" si="8"/>
        <v>37284.199999999997</v>
      </c>
      <c r="T35" s="116">
        <f t="shared" si="8"/>
        <v>37782.699999999997</v>
      </c>
      <c r="U35" s="116">
        <f t="shared" si="8"/>
        <v>36815.1</v>
      </c>
      <c r="V35" s="116"/>
      <c r="W35" s="151"/>
      <c r="X35" s="116"/>
      <c r="Y35" s="116"/>
      <c r="Z35" s="116"/>
      <c r="AA35" s="116"/>
      <c r="AB35" s="151"/>
      <c r="AC35" s="116"/>
      <c r="AD35" s="116"/>
      <c r="AE35" s="116"/>
      <c r="AF35" s="116"/>
      <c r="AG35" s="151"/>
      <c r="AH35" s="116"/>
      <c r="AI35" s="116"/>
      <c r="AJ35" s="116"/>
      <c r="AK35" s="116"/>
      <c r="AL35" s="151"/>
      <c r="AM35" s="116"/>
      <c r="AN35" s="116"/>
      <c r="AO35" s="116"/>
      <c r="AP35" s="116"/>
      <c r="AQ35" s="151"/>
      <c r="AR35" s="116"/>
      <c r="AS35" s="116"/>
      <c r="AT35" s="116"/>
      <c r="AU35" s="116"/>
      <c r="AV35" s="151"/>
    </row>
    <row r="36" spans="1:48" ht="17.399999999999999" x14ac:dyDescent="0.45">
      <c r="B36" s="388" t="s">
        <v>244</v>
      </c>
      <c r="C36" s="389"/>
      <c r="D36" s="14" t="s">
        <v>19</v>
      </c>
      <c r="E36" s="14" t="s">
        <v>81</v>
      </c>
      <c r="F36" s="14" t="s">
        <v>85</v>
      </c>
      <c r="G36" s="14" t="s">
        <v>95</v>
      </c>
      <c r="H36" s="40" t="s">
        <v>96</v>
      </c>
      <c r="I36" s="14" t="s">
        <v>97</v>
      </c>
      <c r="J36" s="14" t="s">
        <v>98</v>
      </c>
      <c r="K36" s="14" t="s">
        <v>99</v>
      </c>
      <c r="L36" s="14" t="s">
        <v>143</v>
      </c>
      <c r="M36" s="40" t="s">
        <v>144</v>
      </c>
      <c r="N36" s="14" t="s">
        <v>150</v>
      </c>
      <c r="O36" s="14" t="s">
        <v>158</v>
      </c>
      <c r="P36" s="14" t="s">
        <v>160</v>
      </c>
      <c r="Q36" s="14" t="s">
        <v>173</v>
      </c>
      <c r="R36" s="40" t="s">
        <v>174</v>
      </c>
      <c r="S36" s="14" t="s">
        <v>189</v>
      </c>
      <c r="T36" s="14" t="s">
        <v>190</v>
      </c>
      <c r="U36" s="14" t="s">
        <v>205</v>
      </c>
      <c r="V36" s="275" t="s">
        <v>25</v>
      </c>
      <c r="W36" s="276" t="s">
        <v>26</v>
      </c>
      <c r="X36" s="275" t="s">
        <v>27</v>
      </c>
      <c r="Y36" s="275" t="s">
        <v>28</v>
      </c>
      <c r="Z36" s="275" t="s">
        <v>29</v>
      </c>
      <c r="AA36" s="275" t="s">
        <v>30</v>
      </c>
      <c r="AB36" s="276" t="s">
        <v>31</v>
      </c>
      <c r="AC36" s="12" t="s">
        <v>90</v>
      </c>
      <c r="AD36" s="12" t="s">
        <v>91</v>
      </c>
      <c r="AE36" s="12" t="s">
        <v>92</v>
      </c>
      <c r="AF36" s="12" t="s">
        <v>93</v>
      </c>
      <c r="AG36" s="42" t="s">
        <v>94</v>
      </c>
      <c r="AH36" s="12" t="s">
        <v>109</v>
      </c>
      <c r="AI36" s="12" t="s">
        <v>110</v>
      </c>
      <c r="AJ36" s="12" t="s">
        <v>111</v>
      </c>
      <c r="AK36" s="12" t="s">
        <v>112</v>
      </c>
      <c r="AL36" s="42" t="s">
        <v>113</v>
      </c>
      <c r="AM36" s="12" t="s">
        <v>165</v>
      </c>
      <c r="AN36" s="12" t="s">
        <v>166</v>
      </c>
      <c r="AO36" s="12" t="s">
        <v>167</v>
      </c>
      <c r="AP36" s="12" t="s">
        <v>168</v>
      </c>
      <c r="AQ36" s="42" t="s">
        <v>169</v>
      </c>
      <c r="AR36" s="12" t="s">
        <v>196</v>
      </c>
      <c r="AS36" s="12" t="s">
        <v>197</v>
      </c>
      <c r="AT36" s="12" t="s">
        <v>198</v>
      </c>
      <c r="AU36" s="12" t="s">
        <v>199</v>
      </c>
      <c r="AV36" s="42" t="s">
        <v>200</v>
      </c>
    </row>
    <row r="37" spans="1:48" outlineLevel="1" x14ac:dyDescent="0.3">
      <c r="B37" s="392" t="s">
        <v>245</v>
      </c>
      <c r="C37" s="393"/>
      <c r="D37" s="16">
        <f>1.2+41.1</f>
        <v>42.300000000000004</v>
      </c>
      <c r="E37" s="16">
        <f>1.2+41.1</f>
        <v>42.300000000000004</v>
      </c>
      <c r="F37" s="16">
        <f>1.2+41.1</f>
        <v>42.300000000000004</v>
      </c>
      <c r="G37" s="16">
        <f>1.2+41.1</f>
        <v>42.300000000000004</v>
      </c>
      <c r="H37" s="17">
        <f>G37</f>
        <v>42.300000000000004</v>
      </c>
      <c r="I37" s="16">
        <f>1.2+41.1</f>
        <v>42.300000000000004</v>
      </c>
      <c r="J37" s="16">
        <f>1.2+41.1</f>
        <v>42.300000000000004</v>
      </c>
      <c r="K37" s="16">
        <f>1.2+115.4</f>
        <v>116.60000000000001</v>
      </c>
      <c r="L37" s="16">
        <f>1.2+373.9</f>
        <v>375.09999999999997</v>
      </c>
      <c r="M37" s="17">
        <f>L37</f>
        <v>375.09999999999997</v>
      </c>
      <c r="N37" s="16">
        <f>1.2+488.6</f>
        <v>489.8</v>
      </c>
      <c r="O37" s="16">
        <f>1.2+595.4</f>
        <v>596.6</v>
      </c>
      <c r="P37" s="16">
        <f>1.2+729.3</f>
        <v>730.5</v>
      </c>
      <c r="Q37" s="16">
        <f>1.2+846.1</f>
        <v>847.30000000000007</v>
      </c>
      <c r="R37" s="17">
        <f>Q37</f>
        <v>847.30000000000007</v>
      </c>
      <c r="S37" s="16">
        <f>1.2+41.1</f>
        <v>42.300000000000004</v>
      </c>
      <c r="T37" s="16">
        <f>1.1+41.1</f>
        <v>42.2</v>
      </c>
      <c r="U37" s="16">
        <f>1.1+117.1</f>
        <v>118.19999999999999</v>
      </c>
      <c r="V37" s="16"/>
      <c r="W37" s="17"/>
      <c r="X37" s="16"/>
      <c r="Y37" s="16"/>
      <c r="Z37" s="16"/>
      <c r="AA37" s="16"/>
      <c r="AB37" s="17"/>
      <c r="AC37" s="16"/>
      <c r="AD37" s="16"/>
      <c r="AE37" s="16"/>
      <c r="AF37" s="16"/>
      <c r="AG37" s="17"/>
      <c r="AH37" s="16"/>
      <c r="AI37" s="16"/>
      <c r="AJ37" s="16"/>
      <c r="AK37" s="16"/>
      <c r="AL37" s="17"/>
      <c r="AM37" s="16"/>
      <c r="AN37" s="16"/>
      <c r="AO37" s="16"/>
      <c r="AP37" s="16"/>
      <c r="AQ37" s="17"/>
      <c r="AR37" s="16"/>
      <c r="AS37" s="16"/>
      <c r="AT37" s="16"/>
      <c r="AU37" s="16"/>
      <c r="AV37" s="17"/>
    </row>
    <row r="38" spans="1:48" outlineLevel="1" x14ac:dyDescent="0.3">
      <c r="B38" s="428" t="s">
        <v>246</v>
      </c>
      <c r="C38" s="429"/>
      <c r="D38" s="16">
        <v>-2584</v>
      </c>
      <c r="E38" s="101">
        <v>-4807.7</v>
      </c>
      <c r="F38" s="101">
        <v>-4013.9</v>
      </c>
      <c r="G38" s="101">
        <v>-5771.2</v>
      </c>
      <c r="H38" s="170">
        <f>G38</f>
        <v>-5771.2</v>
      </c>
      <c r="I38" s="101">
        <v>-6414.8</v>
      </c>
      <c r="J38" s="101">
        <v>-7050.6</v>
      </c>
      <c r="K38" s="101">
        <v>-8208.2999999999993</v>
      </c>
      <c r="L38" s="101">
        <v>-7815.6</v>
      </c>
      <c r="M38" s="170">
        <f>L38</f>
        <v>-7815.6</v>
      </c>
      <c r="N38" s="101">
        <v>-8253.6</v>
      </c>
      <c r="O38" s="101">
        <v>-8124.3</v>
      </c>
      <c r="P38" s="101">
        <v>-7501.6</v>
      </c>
      <c r="Q38" s="101">
        <v>-6315.7</v>
      </c>
      <c r="R38" s="170">
        <f>Q38</f>
        <v>-6315.7</v>
      </c>
      <c r="S38" s="101">
        <v>-8753</v>
      </c>
      <c r="T38" s="101">
        <v>-9070.5</v>
      </c>
      <c r="U38" s="101">
        <v>-8719.7000000000007</v>
      </c>
      <c r="V38" s="101"/>
      <c r="W38" s="170"/>
      <c r="X38" s="101"/>
      <c r="Y38" s="101"/>
      <c r="Z38" s="101"/>
      <c r="AA38" s="101"/>
      <c r="AB38" s="170"/>
      <c r="AC38" s="101"/>
      <c r="AD38" s="101"/>
      <c r="AE38" s="101"/>
      <c r="AF38" s="101"/>
      <c r="AG38" s="170"/>
      <c r="AH38" s="101"/>
      <c r="AI38" s="101"/>
      <c r="AJ38" s="101"/>
      <c r="AK38" s="101"/>
      <c r="AL38" s="170"/>
      <c r="AM38" s="101"/>
      <c r="AN38" s="101"/>
      <c r="AO38" s="101"/>
      <c r="AP38" s="101"/>
      <c r="AQ38" s="170"/>
      <c r="AR38" s="101"/>
      <c r="AS38" s="101"/>
      <c r="AT38" s="101"/>
      <c r="AU38" s="101"/>
      <c r="AV38" s="170"/>
    </row>
    <row r="39" spans="1:48" outlineLevel="1" x14ac:dyDescent="0.3">
      <c r="B39" s="428" t="s">
        <v>247</v>
      </c>
      <c r="C39" s="429"/>
      <c r="D39" s="16">
        <v>-343.2</v>
      </c>
      <c r="E39" s="102">
        <v>-271.5</v>
      </c>
      <c r="F39" s="101">
        <v>-349</v>
      </c>
      <c r="G39" s="101">
        <v>-503.3</v>
      </c>
      <c r="H39" s="170">
        <f>+G39</f>
        <v>-503.3</v>
      </c>
      <c r="I39" s="101">
        <v>-387.4</v>
      </c>
      <c r="J39" s="101">
        <v>-521.79999999999995</v>
      </c>
      <c r="K39" s="101">
        <v>-529.9</v>
      </c>
      <c r="L39" s="101">
        <v>-364.6</v>
      </c>
      <c r="M39" s="170">
        <f>+L39</f>
        <v>-364.6</v>
      </c>
      <c r="N39" s="101">
        <v>-145.9</v>
      </c>
      <c r="O39" s="101">
        <v>-126.3</v>
      </c>
      <c r="P39" s="101">
        <v>-29.7</v>
      </c>
      <c r="Q39" s="101">
        <v>147.19999999999999</v>
      </c>
      <c r="R39" s="170">
        <f>+Q39</f>
        <v>147.19999999999999</v>
      </c>
      <c r="S39" s="101">
        <v>253.5</v>
      </c>
      <c r="T39" s="101">
        <v>260.3</v>
      </c>
      <c r="U39" s="101">
        <v>-65</v>
      </c>
      <c r="V39" s="101"/>
      <c r="W39" s="170"/>
      <c r="X39" s="101"/>
      <c r="Y39" s="101"/>
      <c r="Z39" s="101"/>
      <c r="AA39" s="101"/>
      <c r="AB39" s="170"/>
      <c r="AC39" s="101"/>
      <c r="AD39" s="101"/>
      <c r="AE39" s="101"/>
      <c r="AF39" s="101"/>
      <c r="AG39" s="170"/>
      <c r="AH39" s="101"/>
      <c r="AI39" s="101"/>
      <c r="AJ39" s="101"/>
      <c r="AK39" s="101"/>
      <c r="AL39" s="170"/>
      <c r="AM39" s="101"/>
      <c r="AN39" s="101"/>
      <c r="AO39" s="101"/>
      <c r="AP39" s="101"/>
      <c r="AQ39" s="170"/>
      <c r="AR39" s="101"/>
      <c r="AS39" s="101"/>
      <c r="AT39" s="101"/>
      <c r="AU39" s="101"/>
      <c r="AV39" s="170"/>
    </row>
    <row r="40" spans="1:48" ht="16.2" outlineLevel="1" x14ac:dyDescent="0.45">
      <c r="B40" s="277" t="s">
        <v>248</v>
      </c>
      <c r="C40" s="278"/>
      <c r="D40" s="272">
        <v>6.1</v>
      </c>
      <c r="E40" s="112">
        <v>1.7</v>
      </c>
      <c r="F40" s="112">
        <v>1.6</v>
      </c>
      <c r="G40" s="112">
        <v>1.2</v>
      </c>
      <c r="H40" s="273">
        <f>+G40</f>
        <v>1.2</v>
      </c>
      <c r="I40" s="112">
        <v>0.8</v>
      </c>
      <c r="J40" s="112">
        <v>-2.8</v>
      </c>
      <c r="K40" s="112">
        <v>-2.7</v>
      </c>
      <c r="L40" s="112">
        <v>5.7</v>
      </c>
      <c r="M40" s="274">
        <f>+L40</f>
        <v>5.7</v>
      </c>
      <c r="N40" s="112">
        <v>5.7</v>
      </c>
      <c r="O40" s="112">
        <v>5.7</v>
      </c>
      <c r="P40" s="112">
        <v>6.5</v>
      </c>
      <c r="Q40" s="112">
        <v>6.7</v>
      </c>
      <c r="R40" s="274">
        <f>+Q40</f>
        <v>6.7</v>
      </c>
      <c r="S40" s="112">
        <v>6.9</v>
      </c>
      <c r="T40" s="112">
        <v>6.8</v>
      </c>
      <c r="U40" s="112">
        <v>7.6</v>
      </c>
      <c r="V40" s="112"/>
      <c r="W40" s="274"/>
      <c r="X40" s="112"/>
      <c r="Y40" s="112"/>
      <c r="Z40" s="112"/>
      <c r="AA40" s="112"/>
      <c r="AB40" s="274"/>
      <c r="AC40" s="112"/>
      <c r="AD40" s="112"/>
      <c r="AE40" s="112"/>
      <c r="AF40" s="112"/>
      <c r="AG40" s="274"/>
      <c r="AH40" s="112"/>
      <c r="AI40" s="112"/>
      <c r="AJ40" s="112"/>
      <c r="AK40" s="112"/>
      <c r="AL40" s="274"/>
      <c r="AM40" s="112"/>
      <c r="AN40" s="112"/>
      <c r="AO40" s="112"/>
      <c r="AP40" s="112"/>
      <c r="AQ40" s="274"/>
      <c r="AR40" s="112"/>
      <c r="AS40" s="112"/>
      <c r="AT40" s="112"/>
      <c r="AU40" s="112"/>
      <c r="AV40" s="274"/>
    </row>
    <row r="41" spans="1:48" outlineLevel="1" x14ac:dyDescent="0.3">
      <c r="B41" s="426" t="s">
        <v>249</v>
      </c>
      <c r="C41" s="427"/>
      <c r="D41" s="21">
        <f t="shared" ref="D41:AV41" si="9">SUM(D37:D40)</f>
        <v>-2878.7999999999997</v>
      </c>
      <c r="E41" s="21">
        <f t="shared" si="9"/>
        <v>-5035.2</v>
      </c>
      <c r="F41" s="21">
        <f t="shared" si="9"/>
        <v>-4319</v>
      </c>
      <c r="G41" s="21">
        <f t="shared" si="9"/>
        <v>-6231</v>
      </c>
      <c r="H41" s="22">
        <f t="shared" si="9"/>
        <v>-6231</v>
      </c>
      <c r="I41" s="21">
        <f t="shared" si="9"/>
        <v>-6759.0999999999995</v>
      </c>
      <c r="J41" s="21">
        <f t="shared" si="9"/>
        <v>-7532.9000000000005</v>
      </c>
      <c r="K41" s="21">
        <f t="shared" si="9"/>
        <v>-8624.2999999999993</v>
      </c>
      <c r="L41" s="21">
        <f t="shared" si="9"/>
        <v>-7799.4000000000005</v>
      </c>
      <c r="M41" s="22">
        <f t="shared" si="9"/>
        <v>-7799.4000000000005</v>
      </c>
      <c r="N41" s="21">
        <f t="shared" si="9"/>
        <v>-7904</v>
      </c>
      <c r="O41" s="21">
        <f t="shared" si="9"/>
        <v>-7648.3</v>
      </c>
      <c r="P41" s="21">
        <f t="shared" si="9"/>
        <v>-6794.3</v>
      </c>
      <c r="Q41" s="21">
        <f t="shared" si="9"/>
        <v>-5314.5</v>
      </c>
      <c r="R41" s="22">
        <f t="shared" si="9"/>
        <v>-5314.5</v>
      </c>
      <c r="S41" s="21">
        <f t="shared" si="9"/>
        <v>-8450.3000000000011</v>
      </c>
      <c r="T41" s="21">
        <f t="shared" si="9"/>
        <v>-8761.2000000000007</v>
      </c>
      <c r="U41" s="21">
        <f t="shared" si="9"/>
        <v>-8658.9</v>
      </c>
      <c r="V41" s="21"/>
      <c r="W41" s="22"/>
      <c r="X41" s="21"/>
      <c r="Y41" s="21"/>
      <c r="Z41" s="21"/>
      <c r="AA41" s="21"/>
      <c r="AB41" s="22"/>
      <c r="AC41" s="21"/>
      <c r="AD41" s="21"/>
      <c r="AE41" s="21"/>
      <c r="AF41" s="21"/>
      <c r="AG41" s="22"/>
      <c r="AH41" s="21"/>
      <c r="AI41" s="21"/>
      <c r="AJ41" s="21"/>
      <c r="AK41" s="21"/>
      <c r="AL41" s="22"/>
      <c r="AM41" s="21"/>
      <c r="AN41" s="21"/>
      <c r="AO41" s="21"/>
      <c r="AP41" s="21"/>
      <c r="AQ41" s="22"/>
      <c r="AR41" s="21"/>
      <c r="AS41" s="21"/>
      <c r="AT41" s="21"/>
      <c r="AU41" s="21"/>
      <c r="AV41" s="22"/>
    </row>
    <row r="42" spans="1:48" outlineLevel="1" x14ac:dyDescent="0.3">
      <c r="B42" s="424" t="s">
        <v>250</v>
      </c>
      <c r="C42" s="425"/>
      <c r="D42" s="279">
        <f t="shared" ref="D42:AV42" si="10">D41+D35</f>
        <v>19981.300000000003</v>
      </c>
      <c r="E42" s="279">
        <f t="shared" si="10"/>
        <v>17641.899999999998</v>
      </c>
      <c r="F42" s="279">
        <f t="shared" si="10"/>
        <v>20894.400000000001</v>
      </c>
      <c r="G42" s="279">
        <f t="shared" si="10"/>
        <v>19219.599999999999</v>
      </c>
      <c r="H42" s="280">
        <f t="shared" si="10"/>
        <v>19219.599999999999</v>
      </c>
      <c r="I42" s="279">
        <f t="shared" si="10"/>
        <v>27731.300000000003</v>
      </c>
      <c r="J42" s="279">
        <f t="shared" si="10"/>
        <v>27478.9</v>
      </c>
      <c r="K42" s="279">
        <f t="shared" si="10"/>
        <v>29140.599999999995</v>
      </c>
      <c r="L42" s="279">
        <f t="shared" si="10"/>
        <v>29374.500000000007</v>
      </c>
      <c r="M42" s="280">
        <f t="shared" si="10"/>
        <v>29374.500000000007</v>
      </c>
      <c r="N42" s="279">
        <f t="shared" si="10"/>
        <v>29968.400000000001</v>
      </c>
      <c r="O42" s="279">
        <f t="shared" si="10"/>
        <v>28371.7</v>
      </c>
      <c r="P42" s="279">
        <f t="shared" si="10"/>
        <v>29476.799999999999</v>
      </c>
      <c r="Q42" s="279">
        <f t="shared" si="10"/>
        <v>31392.600000000006</v>
      </c>
      <c r="R42" s="280">
        <f t="shared" si="10"/>
        <v>31392.600000000006</v>
      </c>
      <c r="S42" s="279">
        <f t="shared" si="10"/>
        <v>28833.899999999994</v>
      </c>
      <c r="T42" s="279">
        <f t="shared" si="10"/>
        <v>29021.499999999996</v>
      </c>
      <c r="U42" s="279">
        <f t="shared" si="10"/>
        <v>28156.199999999997</v>
      </c>
      <c r="V42" s="279"/>
      <c r="W42" s="280"/>
      <c r="X42" s="279"/>
      <c r="Y42" s="279"/>
      <c r="Z42" s="279"/>
      <c r="AA42" s="279"/>
      <c r="AB42" s="280"/>
      <c r="AC42" s="279"/>
      <c r="AD42" s="279"/>
      <c r="AE42" s="279"/>
      <c r="AF42" s="279"/>
      <c r="AG42" s="280"/>
      <c r="AH42" s="279"/>
      <c r="AI42" s="279"/>
      <c r="AJ42" s="279"/>
      <c r="AK42" s="279"/>
      <c r="AL42" s="280"/>
      <c r="AM42" s="279"/>
      <c r="AN42" s="279"/>
      <c r="AO42" s="279"/>
      <c r="AP42" s="279"/>
      <c r="AQ42" s="280"/>
      <c r="AR42" s="279"/>
      <c r="AS42" s="279"/>
      <c r="AT42" s="279"/>
      <c r="AU42" s="279"/>
      <c r="AV42" s="280"/>
    </row>
    <row r="43" spans="1:48" x14ac:dyDescent="0.3">
      <c r="B43" s="281"/>
      <c r="C43" s="282"/>
      <c r="D43" s="283">
        <f t="shared" ref="D43:AV43" si="11">ROUND((D42-D20),0)</f>
        <v>0</v>
      </c>
      <c r="E43" s="283">
        <f t="shared" si="11"/>
        <v>0</v>
      </c>
      <c r="F43" s="283">
        <f t="shared" si="11"/>
        <v>0</v>
      </c>
      <c r="G43" s="283">
        <f t="shared" si="11"/>
        <v>0</v>
      </c>
      <c r="H43" s="283">
        <f t="shared" si="11"/>
        <v>0</v>
      </c>
      <c r="I43" s="283">
        <f t="shared" si="11"/>
        <v>0</v>
      </c>
      <c r="J43" s="283">
        <f t="shared" si="11"/>
        <v>0</v>
      </c>
      <c r="K43" s="283">
        <f t="shared" si="11"/>
        <v>0</v>
      </c>
      <c r="L43" s="284">
        <f t="shared" si="11"/>
        <v>0</v>
      </c>
      <c r="M43" s="284">
        <f t="shared" si="11"/>
        <v>0</v>
      </c>
      <c r="N43" s="284">
        <f t="shared" si="11"/>
        <v>0</v>
      </c>
      <c r="O43" s="284">
        <f t="shared" si="11"/>
        <v>0</v>
      </c>
      <c r="P43" s="284">
        <f t="shared" si="11"/>
        <v>0</v>
      </c>
      <c r="Q43" s="284">
        <f t="shared" si="11"/>
        <v>0</v>
      </c>
      <c r="R43" s="284">
        <f t="shared" si="11"/>
        <v>0</v>
      </c>
      <c r="S43" s="284">
        <f t="shared" si="11"/>
        <v>0</v>
      </c>
      <c r="T43" s="284">
        <f t="shared" si="11"/>
        <v>0</v>
      </c>
      <c r="U43" s="284">
        <f t="shared" si="11"/>
        <v>0</v>
      </c>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ht="15.6" x14ac:dyDescent="0.3">
      <c r="B44" s="388" t="s">
        <v>251</v>
      </c>
      <c r="C44" s="389"/>
      <c r="D44" s="13" t="s">
        <v>15</v>
      </c>
      <c r="E44" s="13" t="s">
        <v>82</v>
      </c>
      <c r="F44" s="13" t="s">
        <v>84</v>
      </c>
      <c r="G44" s="13" t="s">
        <v>148</v>
      </c>
      <c r="H44" s="39" t="s">
        <v>148</v>
      </c>
      <c r="I44" s="13" t="s">
        <v>147</v>
      </c>
      <c r="J44" s="13" t="s">
        <v>146</v>
      </c>
      <c r="K44" s="13" t="s">
        <v>145</v>
      </c>
      <c r="L44" s="13" t="s">
        <v>142</v>
      </c>
      <c r="M44" s="39" t="s">
        <v>142</v>
      </c>
      <c r="N44" s="13" t="s">
        <v>149</v>
      </c>
      <c r="O44" s="13" t="s">
        <v>157</v>
      </c>
      <c r="P44" s="13" t="s">
        <v>159</v>
      </c>
      <c r="Q44" s="13" t="s">
        <v>172</v>
      </c>
      <c r="R44" s="39" t="s">
        <v>172</v>
      </c>
      <c r="S44" s="13" t="s">
        <v>188</v>
      </c>
      <c r="T44" s="13" t="s">
        <v>191</v>
      </c>
      <c r="U44" s="13" t="s">
        <v>204</v>
      </c>
      <c r="V44" s="15" t="s">
        <v>20</v>
      </c>
      <c r="W44" s="41" t="s">
        <v>20</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161</v>
      </c>
      <c r="AN44" s="15" t="s">
        <v>162</v>
      </c>
      <c r="AO44" s="15" t="s">
        <v>163</v>
      </c>
      <c r="AP44" s="15" t="s">
        <v>164</v>
      </c>
      <c r="AQ44" s="41" t="s">
        <v>164</v>
      </c>
      <c r="AR44" s="15" t="s">
        <v>192</v>
      </c>
      <c r="AS44" s="15" t="s">
        <v>193</v>
      </c>
      <c r="AT44" s="15" t="s">
        <v>194</v>
      </c>
      <c r="AU44" s="15" t="s">
        <v>195</v>
      </c>
      <c r="AV44" s="41" t="s">
        <v>195</v>
      </c>
    </row>
    <row r="45" spans="1:48" ht="16.2" x14ac:dyDescent="0.45">
      <c r="B45" s="390"/>
      <c r="C45" s="391"/>
      <c r="D45" s="14" t="s">
        <v>19</v>
      </c>
      <c r="E45" s="14" t="s">
        <v>81</v>
      </c>
      <c r="F45" s="14" t="s">
        <v>85</v>
      </c>
      <c r="G45" s="14" t="s">
        <v>95</v>
      </c>
      <c r="H45" s="40" t="s">
        <v>96</v>
      </c>
      <c r="I45" s="14" t="s">
        <v>97</v>
      </c>
      <c r="J45" s="14" t="s">
        <v>98</v>
      </c>
      <c r="K45" s="14" t="s">
        <v>99</v>
      </c>
      <c r="L45" s="14" t="s">
        <v>143</v>
      </c>
      <c r="M45" s="40" t="s">
        <v>144</v>
      </c>
      <c r="N45" s="14" t="s">
        <v>150</v>
      </c>
      <c r="O45" s="14" t="s">
        <v>158</v>
      </c>
      <c r="P45" s="14" t="s">
        <v>160</v>
      </c>
      <c r="Q45" s="14" t="s">
        <v>173</v>
      </c>
      <c r="R45" s="40" t="s">
        <v>174</v>
      </c>
      <c r="S45" s="14" t="s">
        <v>189</v>
      </c>
      <c r="T45" s="14" t="s">
        <v>190</v>
      </c>
      <c r="U45" s="14" t="s">
        <v>205</v>
      </c>
      <c r="V45" s="12" t="s">
        <v>25</v>
      </c>
      <c r="W45" s="42" t="s">
        <v>26</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165</v>
      </c>
      <c r="AN45" s="12" t="s">
        <v>166</v>
      </c>
      <c r="AO45" s="12" t="s">
        <v>167</v>
      </c>
      <c r="AP45" s="12" t="s">
        <v>168</v>
      </c>
      <c r="AQ45" s="42" t="s">
        <v>169</v>
      </c>
      <c r="AR45" s="12" t="s">
        <v>196</v>
      </c>
      <c r="AS45" s="12" t="s">
        <v>197</v>
      </c>
      <c r="AT45" s="12" t="s">
        <v>198</v>
      </c>
      <c r="AU45" s="12" t="s">
        <v>199</v>
      </c>
      <c r="AV45" s="42" t="s">
        <v>200</v>
      </c>
    </row>
    <row r="46" spans="1:48" outlineLevel="1" x14ac:dyDescent="0.3">
      <c r="B46" s="210" t="s">
        <v>252</v>
      </c>
      <c r="C46" s="285"/>
      <c r="D46" s="286">
        <f>31+30+31</f>
        <v>92</v>
      </c>
      <c r="E46" s="286">
        <f>31+28+31</f>
        <v>90</v>
      </c>
      <c r="F46" s="286">
        <f>30+31+30</f>
        <v>91</v>
      </c>
      <c r="G46" s="286">
        <f>31+31+30</f>
        <v>92</v>
      </c>
      <c r="H46" s="122"/>
      <c r="I46" s="286">
        <f>31+30+31</f>
        <v>92</v>
      </c>
      <c r="J46" s="286">
        <f>31+29+31</f>
        <v>91</v>
      </c>
      <c r="K46" s="286">
        <f>30+31+30</f>
        <v>91</v>
      </c>
      <c r="L46" s="286">
        <f>31+31+30</f>
        <v>92</v>
      </c>
      <c r="M46" s="122"/>
      <c r="N46" s="286">
        <f>31+30+31</f>
        <v>92</v>
      </c>
      <c r="O46" s="286">
        <f>31+28+31</f>
        <v>90</v>
      </c>
      <c r="P46" s="286">
        <f>30+31+30</f>
        <v>91</v>
      </c>
      <c r="Q46" s="286">
        <f>31+31+30</f>
        <v>92</v>
      </c>
      <c r="R46" s="122"/>
      <c r="S46" s="286">
        <f>31+30+31</f>
        <v>92</v>
      </c>
      <c r="T46" s="286">
        <f>31+28+31</f>
        <v>90</v>
      </c>
      <c r="U46" s="286">
        <f>30+31+30</f>
        <v>91</v>
      </c>
      <c r="V46" s="286"/>
      <c r="W46" s="122"/>
      <c r="X46" s="286"/>
      <c r="Y46" s="286"/>
      <c r="Z46" s="286"/>
      <c r="AA46" s="286"/>
      <c r="AB46" s="122"/>
      <c r="AC46" s="286"/>
      <c r="AD46" s="286"/>
      <c r="AE46" s="286"/>
      <c r="AF46" s="286"/>
      <c r="AG46" s="122"/>
      <c r="AH46" s="286"/>
      <c r="AI46" s="286"/>
      <c r="AJ46" s="286"/>
      <c r="AK46" s="286"/>
      <c r="AL46" s="122"/>
      <c r="AM46" s="286"/>
      <c r="AN46" s="286"/>
      <c r="AO46" s="286"/>
      <c r="AP46" s="286"/>
      <c r="AQ46" s="122"/>
      <c r="AR46" s="286"/>
      <c r="AS46" s="286"/>
      <c r="AT46" s="286"/>
      <c r="AU46" s="286"/>
      <c r="AV46" s="122"/>
    </row>
    <row r="47" spans="1:48" outlineLevel="1" x14ac:dyDescent="0.3">
      <c r="B47" s="392" t="s">
        <v>253</v>
      </c>
      <c r="C47" s="393"/>
      <c r="D47" s="287">
        <v>9.1942057111172737</v>
      </c>
      <c r="E47" s="288">
        <v>8.9623365548607161</v>
      </c>
      <c r="F47" s="288">
        <v>8.6301543131798635</v>
      </c>
      <c r="G47" s="288">
        <v>7.6757679180887379</v>
      </c>
      <c r="H47" s="127"/>
      <c r="I47" s="288">
        <v>7.8153287082920375</v>
      </c>
      <c r="J47" s="288">
        <v>6.3716259298618487</v>
      </c>
      <c r="K47" s="288">
        <v>4.7918510952218822</v>
      </c>
      <c r="L47" s="288">
        <v>7.0218474077428121</v>
      </c>
      <c r="M47" s="31"/>
      <c r="N47" s="288">
        <v>7.6006756756756761</v>
      </c>
      <c r="O47" s="288">
        <v>7.5755510111338324</v>
      </c>
      <c r="P47" s="288">
        <v>8.2270632133450388</v>
      </c>
      <c r="Q47" s="288">
        <v>8.6667021276595744</v>
      </c>
      <c r="R47" s="31"/>
      <c r="S47" s="288">
        <v>7.8075841334497138</v>
      </c>
      <c r="T47" s="288">
        <v>7.6211198722427387</v>
      </c>
      <c r="U47" s="288">
        <v>7.1111595846784761</v>
      </c>
      <c r="V47" s="289"/>
      <c r="W47" s="31"/>
      <c r="X47" s="289"/>
      <c r="Y47" s="289"/>
      <c r="Z47" s="289"/>
      <c r="AA47" s="289"/>
      <c r="AB47" s="290"/>
      <c r="AC47" s="289"/>
      <c r="AD47" s="289"/>
      <c r="AE47" s="289"/>
      <c r="AF47" s="289"/>
      <c r="AG47" s="290"/>
      <c r="AH47" s="289"/>
      <c r="AI47" s="289"/>
      <c r="AJ47" s="289"/>
      <c r="AK47" s="289"/>
      <c r="AL47" s="290"/>
      <c r="AM47" s="289"/>
      <c r="AN47" s="289"/>
      <c r="AO47" s="289"/>
      <c r="AP47" s="289"/>
      <c r="AQ47" s="290"/>
      <c r="AR47" s="289"/>
      <c r="AS47" s="289"/>
      <c r="AT47" s="289"/>
      <c r="AU47" s="289"/>
      <c r="AV47" s="290"/>
    </row>
    <row r="48" spans="1:48" s="23" customFormat="1" outlineLevel="1" x14ac:dyDescent="0.3">
      <c r="B48" s="414" t="s">
        <v>254</v>
      </c>
      <c r="C48" s="415"/>
      <c r="D48" s="291">
        <f>D46/D47</f>
        <v>10.00630210924661</v>
      </c>
      <c r="E48" s="291">
        <f>E46/E47</f>
        <v>10.042024136126486</v>
      </c>
      <c r="F48" s="286">
        <f>F46/F47</f>
        <v>10.544423274219552</v>
      </c>
      <c r="G48" s="286">
        <f>G46/G47</f>
        <v>11.985771453979545</v>
      </c>
      <c r="H48" s="127"/>
      <c r="I48" s="286">
        <f>I46/I47</f>
        <v>11.771737752039567</v>
      </c>
      <c r="J48" s="286">
        <f>J46/J47</f>
        <v>14.28206881598479</v>
      </c>
      <c r="K48" s="286">
        <f>K46/K47</f>
        <v>18.990573411335589</v>
      </c>
      <c r="L48" s="291">
        <f>L46/L47</f>
        <v>13.101965146459028</v>
      </c>
      <c r="M48" s="31"/>
      <c r="N48" s="291">
        <f>N46/N47</f>
        <v>12.104187038847897</v>
      </c>
      <c r="O48" s="291">
        <f>O46/O47</f>
        <v>11.880323935212958</v>
      </c>
      <c r="P48" s="291">
        <f>P46/P47</f>
        <v>11.061055159074236</v>
      </c>
      <c r="Q48" s="291">
        <f>Q46/Q47</f>
        <v>10.615341181091731</v>
      </c>
      <c r="R48" s="31"/>
      <c r="S48" s="291">
        <f>S46/S47</f>
        <v>11.783414488721057</v>
      </c>
      <c r="T48" s="291">
        <f>T46/T47</f>
        <v>11.809288071664309</v>
      </c>
      <c r="U48" s="291">
        <f>U46/U47</f>
        <v>12.79678776947522</v>
      </c>
      <c r="V48" s="291"/>
      <c r="W48" s="31"/>
      <c r="X48" s="291"/>
      <c r="Y48" s="291"/>
      <c r="Z48" s="291"/>
      <c r="AA48" s="291"/>
      <c r="AB48" s="31"/>
      <c r="AC48" s="291"/>
      <c r="AD48" s="291"/>
      <c r="AE48" s="291"/>
      <c r="AF48" s="291"/>
      <c r="AG48" s="31"/>
      <c r="AH48" s="291"/>
      <c r="AI48" s="291"/>
      <c r="AJ48" s="291"/>
      <c r="AK48" s="291"/>
      <c r="AL48" s="31"/>
      <c r="AM48" s="291"/>
      <c r="AN48" s="291"/>
      <c r="AO48" s="291"/>
      <c r="AP48" s="291"/>
      <c r="AQ48" s="31"/>
      <c r="AR48" s="291"/>
      <c r="AS48" s="291"/>
      <c r="AT48" s="291"/>
      <c r="AU48" s="291"/>
      <c r="AV48" s="31"/>
    </row>
    <row r="49" spans="2:48" outlineLevel="1" x14ac:dyDescent="0.3">
      <c r="B49" s="392" t="s">
        <v>255</v>
      </c>
      <c r="C49" s="393"/>
      <c r="D49" s="287">
        <v>1.6062306215857083</v>
      </c>
      <c r="E49" s="287">
        <v>1.3943173943173943</v>
      </c>
      <c r="F49" s="288">
        <v>1.4497759029791721</v>
      </c>
      <c r="G49" s="288">
        <v>1.3989146070354381</v>
      </c>
      <c r="H49" s="127"/>
      <c r="I49" s="288">
        <v>1.5875630013487614</v>
      </c>
      <c r="J49" s="288">
        <v>1.3387615601125855</v>
      </c>
      <c r="K49" s="288">
        <v>0.93698699330723578</v>
      </c>
      <c r="L49" s="288">
        <v>1.2742039448240299</v>
      </c>
      <c r="M49" s="31"/>
      <c r="N49" s="288">
        <v>1.3925246347264695</v>
      </c>
      <c r="O49" s="288">
        <v>1.3250864591646716</v>
      </c>
      <c r="P49" s="288">
        <v>1.4248805063945227</v>
      </c>
      <c r="Q49" s="288">
        <v>1.5531516927489244</v>
      </c>
      <c r="R49" s="31"/>
      <c r="S49" s="288">
        <v>1.5435220817298883</v>
      </c>
      <c r="T49" s="288">
        <v>1.2842708333333335</v>
      </c>
      <c r="U49" s="288">
        <v>1.2253739040742651</v>
      </c>
      <c r="V49" s="289"/>
      <c r="W49" s="31"/>
      <c r="X49" s="289"/>
      <c r="Y49" s="289"/>
      <c r="Z49" s="289"/>
      <c r="AA49" s="289"/>
      <c r="AB49" s="290"/>
      <c r="AC49" s="289"/>
      <c r="AD49" s="289"/>
      <c r="AE49" s="289"/>
      <c r="AF49" s="289"/>
      <c r="AG49" s="290"/>
      <c r="AH49" s="289"/>
      <c r="AI49" s="289"/>
      <c r="AJ49" s="289"/>
      <c r="AK49" s="289"/>
      <c r="AL49" s="290"/>
      <c r="AM49" s="289"/>
      <c r="AN49" s="289"/>
      <c r="AO49" s="289"/>
      <c r="AP49" s="289"/>
      <c r="AQ49" s="290"/>
      <c r="AR49" s="289"/>
      <c r="AS49" s="289"/>
      <c r="AT49" s="289"/>
      <c r="AU49" s="289"/>
      <c r="AV49" s="290"/>
    </row>
    <row r="50" spans="2:48" s="23" customFormat="1" outlineLevel="1" x14ac:dyDescent="0.3">
      <c r="B50" s="414" t="s">
        <v>254</v>
      </c>
      <c r="C50" s="415"/>
      <c r="D50" s="291">
        <f>D46/D49</f>
        <v>57.276955602536987</v>
      </c>
      <c r="E50" s="291">
        <f>E46/E49</f>
        <v>64.547713717693838</v>
      </c>
      <c r="F50" s="286">
        <f>F46/F49</f>
        <v>62.768321513002363</v>
      </c>
      <c r="G50" s="286">
        <f>G46/G49</f>
        <v>65.765272259873825</v>
      </c>
      <c r="H50" s="127"/>
      <c r="I50" s="286">
        <f>I46/I49</f>
        <v>57.950456090144868</v>
      </c>
      <c r="J50" s="286">
        <f>J46/J49</f>
        <v>67.973269259648589</v>
      </c>
      <c r="K50" s="286">
        <f>K46/K49</f>
        <v>97.119811320754721</v>
      </c>
      <c r="L50" s="291">
        <f>L46/L49</f>
        <v>72.201942533387296</v>
      </c>
      <c r="M50" s="31"/>
      <c r="N50" s="291">
        <f>N46/N49</f>
        <v>66.067053828510083</v>
      </c>
      <c r="O50" s="291">
        <f>O46/O49</f>
        <v>67.920096366191515</v>
      </c>
      <c r="P50" s="291">
        <f>P46/P49</f>
        <v>63.865004533091565</v>
      </c>
      <c r="Q50" s="291">
        <f>Q46/Q49</f>
        <v>59.234394444221429</v>
      </c>
      <c r="R50" s="31"/>
      <c r="S50" s="291">
        <f>S46/S49</f>
        <v>59.603941588507659</v>
      </c>
      <c r="T50" s="291">
        <f>T46/T49</f>
        <v>70.078676291670035</v>
      </c>
      <c r="U50" s="291">
        <f>U46/U49</f>
        <v>74.263047138047142</v>
      </c>
      <c r="V50" s="291"/>
      <c r="W50" s="31"/>
      <c r="X50" s="291"/>
      <c r="Y50" s="291"/>
      <c r="Z50" s="291"/>
      <c r="AA50" s="291"/>
      <c r="AB50" s="31"/>
      <c r="AC50" s="291"/>
      <c r="AD50" s="291"/>
      <c r="AE50" s="291"/>
      <c r="AF50" s="291"/>
      <c r="AG50" s="31"/>
      <c r="AH50" s="291"/>
      <c r="AI50" s="291"/>
      <c r="AJ50" s="291"/>
      <c r="AK50" s="291"/>
      <c r="AL50" s="31"/>
      <c r="AM50" s="291"/>
      <c r="AN50" s="291"/>
      <c r="AO50" s="291"/>
      <c r="AP50" s="291"/>
      <c r="AQ50" s="31"/>
      <c r="AR50" s="291"/>
      <c r="AS50" s="291"/>
      <c r="AT50" s="291"/>
      <c r="AU50" s="291"/>
      <c r="AV50" s="31"/>
    </row>
    <row r="51" spans="2:48" s="23" customFormat="1" outlineLevel="1" x14ac:dyDescent="0.3">
      <c r="B51" s="392" t="s">
        <v>256</v>
      </c>
      <c r="C51" s="393"/>
      <c r="D51" s="287">
        <v>1.9771013175829171</v>
      </c>
      <c r="E51" s="287">
        <v>1.8345946931704202</v>
      </c>
      <c r="F51" s="288">
        <v>1.9203771608171816</v>
      </c>
      <c r="G51" s="288">
        <v>1.7983525258468513</v>
      </c>
      <c r="H51" s="128"/>
      <c r="I51" s="288">
        <v>2.0600589535740608</v>
      </c>
      <c r="J51" s="288">
        <v>2.0023053021950488</v>
      </c>
      <c r="K51" s="288">
        <v>1.7239776951672863</v>
      </c>
      <c r="L51" s="288">
        <v>1.9809600160336707</v>
      </c>
      <c r="M51" s="292"/>
      <c r="N51" s="288">
        <v>1.9504092899295642</v>
      </c>
      <c r="O51" s="288">
        <v>1.9276315789473686</v>
      </c>
      <c r="P51" s="288">
        <v>1.9574090505767525</v>
      </c>
      <c r="Q51" s="288">
        <v>2.0560415978870914</v>
      </c>
      <c r="R51" s="292"/>
      <c r="S51" s="288">
        <v>1.9597487203350394</v>
      </c>
      <c r="T51" s="288">
        <v>1.8546822113576533</v>
      </c>
      <c r="U51" s="288">
        <v>1.7543294401933145</v>
      </c>
      <c r="V51" s="289"/>
      <c r="W51" s="292"/>
      <c r="X51" s="289"/>
      <c r="Y51" s="289"/>
      <c r="Z51" s="289"/>
      <c r="AA51" s="289"/>
      <c r="AB51" s="31"/>
      <c r="AC51" s="289"/>
      <c r="AD51" s="289"/>
      <c r="AE51" s="289"/>
      <c r="AF51" s="289"/>
      <c r="AG51" s="31"/>
      <c r="AH51" s="289"/>
      <c r="AI51" s="289"/>
      <c r="AJ51" s="289"/>
      <c r="AK51" s="289"/>
      <c r="AL51" s="31"/>
      <c r="AM51" s="289"/>
      <c r="AN51" s="289"/>
      <c r="AO51" s="289"/>
      <c r="AP51" s="289"/>
      <c r="AQ51" s="31"/>
      <c r="AR51" s="289"/>
      <c r="AS51" s="289"/>
      <c r="AT51" s="289"/>
      <c r="AU51" s="289"/>
      <c r="AV51" s="31"/>
    </row>
    <row r="52" spans="2:48" s="23" customFormat="1" outlineLevel="1" x14ac:dyDescent="0.3">
      <c r="B52" s="414" t="s">
        <v>257</v>
      </c>
      <c r="C52" s="415"/>
      <c r="D52" s="16">
        <f>D46/D51</f>
        <v>46.532769556025364</v>
      </c>
      <c r="E52" s="16">
        <f>E46/E51</f>
        <v>49.057157057654081</v>
      </c>
      <c r="F52" s="101">
        <f>F46/F51</f>
        <v>47.386524822695037</v>
      </c>
      <c r="G52" s="101">
        <f>G46/G51</f>
        <v>51.157934096751603</v>
      </c>
      <c r="H52" s="129"/>
      <c r="I52" s="101">
        <f>I46/I51</f>
        <v>44.658916115185114</v>
      </c>
      <c r="J52" s="101">
        <f>J46/J51</f>
        <v>45.447614756970509</v>
      </c>
      <c r="K52" s="101">
        <f>K46/K51</f>
        <v>52.784905660377355</v>
      </c>
      <c r="L52" s="16">
        <f>L46/L51</f>
        <v>46.44212869283691</v>
      </c>
      <c r="M52" s="28"/>
      <c r="N52" s="16">
        <f>N46/N51</f>
        <v>47.169586647796592</v>
      </c>
      <c r="O52" s="16">
        <f>O46/O51</f>
        <v>46.689419795221838</v>
      </c>
      <c r="P52" s="16">
        <f>P46/P51</f>
        <v>46.490027198549406</v>
      </c>
      <c r="Q52" s="16">
        <f>Q46/Q51</f>
        <v>44.74617638794107</v>
      </c>
      <c r="R52" s="28"/>
      <c r="S52" s="16">
        <f>S46/S51</f>
        <v>46.944794016383717</v>
      </c>
      <c r="T52" s="16">
        <f>T46/T51</f>
        <v>48.525833400924647</v>
      </c>
      <c r="U52" s="16">
        <f>U46/U51</f>
        <v>51.871671258034894</v>
      </c>
      <c r="V52" s="16"/>
      <c r="W52" s="28"/>
      <c r="X52" s="16"/>
      <c r="Y52" s="16"/>
      <c r="Z52" s="16"/>
      <c r="AA52" s="16"/>
      <c r="AB52" s="28"/>
      <c r="AC52" s="16"/>
      <c r="AD52" s="16"/>
      <c r="AE52" s="16"/>
      <c r="AF52" s="16"/>
      <c r="AG52" s="28"/>
      <c r="AH52" s="16"/>
      <c r="AI52" s="16"/>
      <c r="AJ52" s="16"/>
      <c r="AK52" s="16"/>
      <c r="AL52" s="28"/>
      <c r="AM52" s="16"/>
      <c r="AN52" s="16"/>
      <c r="AO52" s="16"/>
      <c r="AP52" s="16"/>
      <c r="AQ52" s="28"/>
      <c r="AR52" s="16"/>
      <c r="AS52" s="16"/>
      <c r="AT52" s="16"/>
      <c r="AU52" s="16"/>
      <c r="AV52" s="28"/>
    </row>
    <row r="53" spans="2:48" s="23" customFormat="1" outlineLevel="1" x14ac:dyDescent="0.3">
      <c r="B53" s="392" t="s">
        <v>258</v>
      </c>
      <c r="C53" s="393"/>
      <c r="D53" s="30">
        <f t="shared" ref="D53:L53" si="12">(D12+D7)/D20</f>
        <v>2.4783172266068774E-2</v>
      </c>
      <c r="E53" s="30">
        <f t="shared" si="12"/>
        <v>1.862044337628033E-2</v>
      </c>
      <c r="F53" s="118">
        <f t="shared" si="12"/>
        <v>1.4104190097872643E-2</v>
      </c>
      <c r="G53" s="118">
        <f t="shared" si="12"/>
        <v>1.5114935950133718E-2</v>
      </c>
      <c r="H53" s="129">
        <f t="shared" si="12"/>
        <v>1.5114935950133718E-2</v>
      </c>
      <c r="I53" s="118">
        <f t="shared" si="12"/>
        <v>9.6713821566244626E-3</v>
      </c>
      <c r="J53" s="118">
        <f t="shared" si="12"/>
        <v>9.1597553031598795E-3</v>
      </c>
      <c r="K53" s="118">
        <f t="shared" si="12"/>
        <v>1.5555616562459249E-2</v>
      </c>
      <c r="L53" s="118">
        <f t="shared" si="12"/>
        <v>1.6589218539890038E-2</v>
      </c>
      <c r="M53" s="28"/>
      <c r="N53" s="118">
        <f>(N12+N7)/N20</f>
        <v>1.4228367975494099E-2</v>
      </c>
      <c r="O53" s="118">
        <f>(O12+O7)/O20</f>
        <v>1.4373528458035493E-2</v>
      </c>
      <c r="P53" s="118">
        <f>(P12+P7)/P20</f>
        <v>1.4910030939586384E-2</v>
      </c>
      <c r="Q53" s="118">
        <f>(Q12+Q7)/Q20</f>
        <v>1.4140275096678831E-2</v>
      </c>
      <c r="R53" s="28"/>
      <c r="S53" s="118">
        <f>(S12+S7)/S20</f>
        <v>1.3421701538813684E-2</v>
      </c>
      <c r="T53" s="118">
        <f>(T12+T7)/T20</f>
        <v>1.2669917130403319E-2</v>
      </c>
      <c r="U53" s="118">
        <f>(U12+U7)/U20</f>
        <v>1.3119668137035531E-2</v>
      </c>
      <c r="V53" s="34"/>
      <c r="W53" s="28"/>
      <c r="X53" s="34"/>
      <c r="Y53" s="34"/>
      <c r="Z53" s="34"/>
      <c r="AA53" s="34"/>
      <c r="AB53" s="28"/>
      <c r="AC53" s="34"/>
      <c r="AD53" s="34"/>
      <c r="AE53" s="34"/>
      <c r="AF53" s="34"/>
      <c r="AG53" s="28"/>
      <c r="AH53" s="34"/>
      <c r="AI53" s="34"/>
      <c r="AJ53" s="34"/>
      <c r="AK53" s="34"/>
      <c r="AL53" s="28"/>
      <c r="AM53" s="34"/>
      <c r="AN53" s="34"/>
      <c r="AO53" s="34"/>
      <c r="AP53" s="34"/>
      <c r="AQ53" s="28"/>
      <c r="AR53" s="34"/>
      <c r="AS53" s="34"/>
      <c r="AT53" s="34"/>
      <c r="AU53" s="34"/>
      <c r="AV53" s="28"/>
    </row>
    <row r="54" spans="2:48" s="23" customFormat="1" outlineLevel="1" x14ac:dyDescent="0.3">
      <c r="B54" s="181" t="s">
        <v>259</v>
      </c>
      <c r="C54" s="211"/>
      <c r="D54" s="30">
        <f t="shared" ref="D54:L54" si="13">D7/(D7+D12)</f>
        <v>0.4648626817447496</v>
      </c>
      <c r="E54" s="30">
        <f t="shared" si="13"/>
        <v>0.23318112633181123</v>
      </c>
      <c r="F54" s="118">
        <f t="shared" si="13"/>
        <v>0.24465558194774345</v>
      </c>
      <c r="G54" s="118">
        <f t="shared" si="13"/>
        <v>0.24268502581755594</v>
      </c>
      <c r="H54" s="129">
        <f t="shared" si="13"/>
        <v>0.24268502581755594</v>
      </c>
      <c r="I54" s="118">
        <f t="shared" si="13"/>
        <v>0.25503355704697983</v>
      </c>
      <c r="J54" s="118">
        <f t="shared" si="13"/>
        <v>0.21017083829956296</v>
      </c>
      <c r="K54" s="118">
        <f t="shared" si="13"/>
        <v>0.50716964482682547</v>
      </c>
      <c r="L54" s="118">
        <f t="shared" si="13"/>
        <v>0.57705725425815724</v>
      </c>
      <c r="M54" s="28"/>
      <c r="N54" s="118">
        <f>N7/(N7+N12)</f>
        <v>0.55229831144465291</v>
      </c>
      <c r="O54" s="118">
        <f>O7/(O7+O12)</f>
        <v>0.30161844041196662</v>
      </c>
      <c r="P54" s="118">
        <f>P7/(P7+P12)</f>
        <v>0.34948805460750854</v>
      </c>
      <c r="Q54" s="118">
        <f>Q7/(Q7+Q12)</f>
        <v>0.3653976120747916</v>
      </c>
      <c r="R54" s="28"/>
      <c r="S54" s="118">
        <f>S7/(S7+S12)</f>
        <v>0.22583979328165377</v>
      </c>
      <c r="T54" s="118">
        <f>T7/(T7+T12)</f>
        <v>0.22327984770193088</v>
      </c>
      <c r="U54" s="118">
        <f>U7/(U7+U12)</f>
        <v>0.20817541959935032</v>
      </c>
      <c r="V54" s="34"/>
      <c r="W54" s="28"/>
      <c r="X54" s="34"/>
      <c r="Y54" s="34"/>
      <c r="Z54" s="34"/>
      <c r="AA54" s="34"/>
      <c r="AB54" s="28"/>
      <c r="AC54" s="34"/>
      <c r="AD54" s="34"/>
      <c r="AE54" s="34"/>
      <c r="AF54" s="34"/>
      <c r="AG54" s="28"/>
      <c r="AH54" s="34"/>
      <c r="AI54" s="34"/>
      <c r="AJ54" s="34"/>
      <c r="AK54" s="34"/>
      <c r="AL54" s="28"/>
      <c r="AM54" s="34"/>
      <c r="AN54" s="34"/>
      <c r="AO54" s="34"/>
      <c r="AP54" s="34"/>
      <c r="AQ54" s="28"/>
      <c r="AR54" s="34"/>
      <c r="AS54" s="34"/>
      <c r="AT54" s="34"/>
      <c r="AU54" s="34"/>
      <c r="AV54" s="28"/>
    </row>
    <row r="55" spans="2:48" s="23" customFormat="1" outlineLevel="1" x14ac:dyDescent="0.3">
      <c r="B55" s="210" t="s">
        <v>260</v>
      </c>
      <c r="C55" s="211"/>
      <c r="D55" s="30">
        <f t="shared" ref="D55:L55" si="14">+D16/(D27+D33)</f>
        <v>7.7585075018799465E-2</v>
      </c>
      <c r="E55" s="30">
        <f t="shared" si="14"/>
        <v>0.12468259571674534</v>
      </c>
      <c r="F55" s="113">
        <f t="shared" si="14"/>
        <v>0.19119242713361023</v>
      </c>
      <c r="G55" s="113">
        <f t="shared" si="14"/>
        <v>0.22035590386103276</v>
      </c>
      <c r="H55" s="126">
        <f t="shared" si="14"/>
        <v>0.22035590386103276</v>
      </c>
      <c r="I55" s="293">
        <f t="shared" si="14"/>
        <v>0.20507171706404201</v>
      </c>
      <c r="J55" s="293">
        <f t="shared" si="14"/>
        <v>0.21050752296288999</v>
      </c>
      <c r="K55" s="113">
        <f t="shared" si="14"/>
        <v>0.2146584586535733</v>
      </c>
      <c r="L55" s="113">
        <f t="shared" si="14"/>
        <v>0.22220980757293607</v>
      </c>
      <c r="M55" s="294"/>
      <c r="N55" s="293">
        <f>+N16/(N27+N33)</f>
        <v>0.21164495979407008</v>
      </c>
      <c r="O55" s="293">
        <f>+O16/(O27+O33)</f>
        <v>0.21706605185058006</v>
      </c>
      <c r="P55" s="113">
        <f>+P16/(P27+P33)</f>
        <v>0.22796408734312845</v>
      </c>
      <c r="Q55" s="113">
        <f>+Q16/(Q27+Q33)</f>
        <v>0.23263143527192862</v>
      </c>
      <c r="R55" s="294"/>
      <c r="S55" s="293">
        <f>+S16/(S27+S33)</f>
        <v>0.21831564613072879</v>
      </c>
      <c r="T55" s="293">
        <f>+T16/(T27+T33)</f>
        <v>0.22164512770257855</v>
      </c>
      <c r="U55" s="293">
        <f>+U16/(U27+U33)</f>
        <v>0.21758667345241495</v>
      </c>
      <c r="V55" s="35"/>
      <c r="W55" s="294"/>
      <c r="X55" s="295"/>
      <c r="Y55" s="295"/>
      <c r="Z55" s="35"/>
      <c r="AA55" s="296"/>
      <c r="AB55" s="28"/>
      <c r="AC55" s="295"/>
      <c r="AD55" s="295"/>
      <c r="AE55" s="35"/>
      <c r="AF55" s="296"/>
      <c r="AG55" s="28"/>
      <c r="AH55" s="295"/>
      <c r="AI55" s="295"/>
      <c r="AJ55" s="35"/>
      <c r="AK55" s="296"/>
      <c r="AL55" s="28"/>
      <c r="AM55" s="295"/>
      <c r="AN55" s="295"/>
      <c r="AO55" s="35"/>
      <c r="AP55" s="296"/>
      <c r="AQ55" s="28"/>
      <c r="AR55" s="295"/>
      <c r="AS55" s="295"/>
      <c r="AT55" s="35"/>
      <c r="AU55" s="296"/>
      <c r="AV55" s="28"/>
    </row>
    <row r="56" spans="2:48" outlineLevel="1" x14ac:dyDescent="0.3">
      <c r="B56" s="210" t="s">
        <v>261</v>
      </c>
      <c r="C56" s="211"/>
      <c r="D56" s="297"/>
      <c r="E56" s="297">
        <f>+'Cash Flow Statement'!E7/((E14+D14)/2)</f>
        <v>6.122482504846076E-2</v>
      </c>
      <c r="F56" s="298">
        <f>+'Cash Flow Statement'!F7/((F14+E14)/2)</f>
        <v>5.8442138063667992E-2</v>
      </c>
      <c r="G56" s="298">
        <f>+'Cash Flow Statement'!G7/((G14+F14)/2)</f>
        <v>5.7957922263164152E-2</v>
      </c>
      <c r="H56" s="126">
        <f>+'Cash Flow Statement'!H7/((H14+G14)/2)</f>
        <v>0.2253370026587061</v>
      </c>
      <c r="I56" s="299">
        <f>+'Cash Flow Statement'!I7/((I14+G14)/2)</f>
        <v>5.75858250276855E-2</v>
      </c>
      <c r="J56" s="299">
        <f>+'Cash Flow Statement'!J7/((J14+I14)/2)</f>
        <v>5.9117695395957084E-2</v>
      </c>
      <c r="K56" s="298">
        <f>+'Cash Flow Statement'!K7/((K14+J14)/2)</f>
        <v>5.9467301657388859E-2</v>
      </c>
      <c r="L56" s="298">
        <f>+'Cash Flow Statement'!L7/((L14+K14)/2)</f>
        <v>6.0492940894950963E-2</v>
      </c>
      <c r="M56" s="294"/>
      <c r="N56" s="299">
        <f>+'Cash Flow Statement'!N7/((N14+L14)/2)</f>
        <v>6.2547808652661588E-2</v>
      </c>
      <c r="O56" s="299">
        <f>+'Cash Flow Statement'!O7/((O14+N14)/2)</f>
        <v>6.251524266319812E-2</v>
      </c>
      <c r="P56" s="298">
        <f>+'Cash Flow Statement'!P7/((P14+O14)/2)</f>
        <v>6.0825288199111989E-2</v>
      </c>
      <c r="Q56" s="298">
        <f>+'Cash Flow Statement'!Q7/((Q14+P14)/2)</f>
        <v>6.0363072942040873E-2</v>
      </c>
      <c r="R56" s="294"/>
      <c r="S56" s="299">
        <f>+'Cash Flow Statement'!S7/((S14+Q14)/2)</f>
        <v>6.052868611709418E-2</v>
      </c>
      <c r="T56" s="299">
        <f>+'Cash Flow Statement'!T7/((T14+S14)/2)</f>
        <v>6.0861044576476821E-2</v>
      </c>
      <c r="U56" s="299">
        <f>+'Cash Flow Statement'!U7/((U14+T14)/2)</f>
        <v>6.0812805967829661E-2</v>
      </c>
      <c r="V56" s="300"/>
      <c r="W56" s="294"/>
      <c r="X56" s="301"/>
      <c r="Y56" s="301"/>
      <c r="Z56" s="300"/>
      <c r="AA56" s="300"/>
      <c r="AB56" s="302"/>
      <c r="AC56" s="301"/>
      <c r="AD56" s="301"/>
      <c r="AE56" s="300"/>
      <c r="AF56" s="300"/>
      <c r="AG56" s="302"/>
      <c r="AH56" s="301"/>
      <c r="AI56" s="301"/>
      <c r="AJ56" s="300"/>
      <c r="AK56" s="300"/>
      <c r="AL56" s="302"/>
      <c r="AM56" s="301"/>
      <c r="AN56" s="301"/>
      <c r="AO56" s="300"/>
      <c r="AP56" s="300"/>
      <c r="AQ56" s="302"/>
      <c r="AR56" s="301"/>
      <c r="AS56" s="301"/>
      <c r="AT56" s="300"/>
      <c r="AU56" s="300"/>
      <c r="AV56" s="302"/>
    </row>
    <row r="57" spans="2:48" outlineLevel="1" x14ac:dyDescent="0.3">
      <c r="B57" s="210"/>
      <c r="C57" s="211"/>
      <c r="D57" s="297"/>
      <c r="E57" s="297"/>
      <c r="F57" s="298"/>
      <c r="G57" s="298"/>
      <c r="H57" s="126"/>
      <c r="I57" s="299"/>
      <c r="J57" s="299"/>
      <c r="K57" s="298"/>
      <c r="L57" s="298"/>
      <c r="M57" s="294"/>
      <c r="N57" s="299"/>
      <c r="O57" s="299"/>
      <c r="P57" s="298"/>
      <c r="Q57" s="298"/>
      <c r="R57" s="294"/>
      <c r="S57" s="299"/>
      <c r="T57" s="299"/>
      <c r="U57" s="299"/>
      <c r="V57" s="300"/>
      <c r="W57" s="294"/>
      <c r="X57" s="301"/>
      <c r="Y57" s="301"/>
      <c r="Z57" s="300"/>
      <c r="AA57" s="300"/>
      <c r="AB57" s="302"/>
      <c r="AC57" s="301"/>
      <c r="AD57" s="301"/>
      <c r="AE57" s="300"/>
      <c r="AF57" s="300"/>
      <c r="AG57" s="302"/>
      <c r="AH57" s="301"/>
      <c r="AI57" s="301"/>
      <c r="AJ57" s="300"/>
      <c r="AK57" s="300"/>
      <c r="AL57" s="302"/>
      <c r="AM57" s="301"/>
      <c r="AN57" s="301"/>
      <c r="AO57" s="300"/>
      <c r="AP57" s="300"/>
      <c r="AQ57" s="302"/>
      <c r="AR57" s="301"/>
      <c r="AS57" s="301"/>
      <c r="AT57" s="300"/>
      <c r="AU57" s="300"/>
      <c r="AV57" s="302"/>
    </row>
    <row r="58" spans="2:48" s="308" customFormat="1" outlineLevel="1" x14ac:dyDescent="0.3">
      <c r="B58" s="303" t="s">
        <v>262</v>
      </c>
      <c r="C58" s="260"/>
      <c r="D58" s="304"/>
      <c r="E58" s="304"/>
      <c r="F58" s="305"/>
      <c r="G58" s="305"/>
      <c r="H58" s="306"/>
      <c r="I58" s="304"/>
      <c r="J58" s="304"/>
      <c r="K58" s="305"/>
      <c r="L58" s="305"/>
      <c r="M58" s="306"/>
      <c r="N58" s="304"/>
      <c r="O58" s="304"/>
      <c r="P58" s="305"/>
      <c r="Q58" s="305"/>
      <c r="R58" s="306"/>
      <c r="S58" s="304"/>
      <c r="T58" s="304"/>
      <c r="U58" s="304"/>
      <c r="V58" s="305"/>
      <c r="W58" s="306"/>
      <c r="X58" s="304"/>
      <c r="Y58" s="304"/>
      <c r="Z58" s="305"/>
      <c r="AA58" s="305"/>
      <c r="AB58" s="307"/>
      <c r="AC58" s="304"/>
      <c r="AD58" s="304"/>
      <c r="AE58" s="305"/>
      <c r="AF58" s="305"/>
      <c r="AG58" s="307"/>
      <c r="AH58" s="304"/>
      <c r="AI58" s="304"/>
      <c r="AJ58" s="305"/>
      <c r="AK58" s="305"/>
      <c r="AL58" s="307"/>
      <c r="AM58" s="304"/>
      <c r="AN58" s="304"/>
      <c r="AO58" s="305"/>
      <c r="AP58" s="305"/>
      <c r="AQ58" s="307"/>
      <c r="AR58" s="304"/>
      <c r="AS58" s="304"/>
      <c r="AT58" s="305"/>
      <c r="AU58" s="305"/>
      <c r="AV58" s="307"/>
    </row>
    <row r="59" spans="2:48" s="314" customFormat="1" outlineLevel="1" x14ac:dyDescent="0.3">
      <c r="B59" s="210" t="s">
        <v>263</v>
      </c>
      <c r="C59" s="309"/>
      <c r="D59" s="310"/>
      <c r="E59" s="310"/>
      <c r="F59" s="147"/>
      <c r="G59" s="147"/>
      <c r="H59" s="122"/>
      <c r="I59" s="311"/>
      <c r="J59" s="311"/>
      <c r="K59" s="147"/>
      <c r="L59" s="147"/>
      <c r="M59" s="26"/>
      <c r="N59" s="311"/>
      <c r="O59" s="311"/>
      <c r="P59" s="147"/>
      <c r="Q59" s="147"/>
      <c r="R59" s="26"/>
      <c r="S59" s="311"/>
      <c r="T59" s="311"/>
      <c r="U59" s="311"/>
      <c r="V59" s="312"/>
      <c r="W59" s="26"/>
      <c r="X59" s="313"/>
      <c r="Y59" s="313"/>
      <c r="Z59" s="312"/>
      <c r="AA59" s="312"/>
      <c r="AB59" s="6"/>
      <c r="AC59" s="313"/>
      <c r="AD59" s="313"/>
      <c r="AE59" s="312"/>
      <c r="AF59" s="312"/>
      <c r="AG59" s="6"/>
      <c r="AH59" s="313"/>
      <c r="AI59" s="313"/>
      <c r="AJ59" s="312"/>
      <c r="AK59" s="312"/>
      <c r="AL59" s="6"/>
      <c r="AM59" s="313"/>
      <c r="AN59" s="313"/>
      <c r="AO59" s="312"/>
      <c r="AP59" s="312"/>
      <c r="AQ59" s="6"/>
      <c r="AR59" s="313"/>
      <c r="AS59" s="313"/>
      <c r="AT59" s="312"/>
      <c r="AU59" s="312"/>
      <c r="AV59" s="6"/>
    </row>
    <row r="60" spans="2:48" s="314" customFormat="1" outlineLevel="1" x14ac:dyDescent="0.3">
      <c r="B60" s="210" t="s">
        <v>264</v>
      </c>
      <c r="C60" s="309"/>
      <c r="D60" s="310"/>
      <c r="E60" s="310"/>
      <c r="F60" s="147"/>
      <c r="G60" s="147"/>
      <c r="H60" s="122"/>
      <c r="I60" s="311"/>
      <c r="J60" s="311"/>
      <c r="K60" s="147"/>
      <c r="L60" s="147"/>
      <c r="M60" s="26"/>
      <c r="N60" s="311"/>
      <c r="O60" s="311"/>
      <c r="P60" s="147"/>
      <c r="Q60" s="147"/>
      <c r="R60" s="26"/>
      <c r="S60" s="311"/>
      <c r="T60" s="311"/>
      <c r="U60" s="311"/>
      <c r="V60" s="312"/>
      <c r="W60" s="26"/>
      <c r="X60" s="312"/>
      <c r="Y60" s="312"/>
      <c r="Z60" s="312"/>
      <c r="AA60" s="312"/>
      <c r="AB60" s="6"/>
      <c r="AC60" s="312"/>
      <c r="AD60" s="312"/>
      <c r="AE60" s="312"/>
      <c r="AF60" s="312"/>
      <c r="AG60" s="6"/>
      <c r="AH60" s="312"/>
      <c r="AI60" s="312"/>
      <c r="AJ60" s="312"/>
      <c r="AK60" s="312"/>
      <c r="AL60" s="6"/>
      <c r="AM60" s="312"/>
      <c r="AN60" s="312"/>
      <c r="AO60" s="312"/>
      <c r="AP60" s="312"/>
      <c r="AQ60" s="6"/>
      <c r="AR60" s="312"/>
      <c r="AS60" s="312"/>
      <c r="AT60" s="312"/>
      <c r="AU60" s="312"/>
      <c r="AV60" s="6"/>
    </row>
    <row r="61" spans="2:48" s="314" customFormat="1" outlineLevel="1" x14ac:dyDescent="0.3">
      <c r="B61" s="210" t="s">
        <v>265</v>
      </c>
      <c r="C61" s="309"/>
      <c r="D61" s="310"/>
      <c r="E61" s="310"/>
      <c r="F61" s="147"/>
      <c r="G61" s="147"/>
      <c r="H61" s="122"/>
      <c r="I61" s="311"/>
      <c r="J61" s="311"/>
      <c r="K61" s="147"/>
      <c r="L61" s="147"/>
      <c r="M61" s="26"/>
      <c r="N61" s="311"/>
      <c r="O61" s="311"/>
      <c r="P61" s="147"/>
      <c r="Q61" s="147"/>
      <c r="R61" s="26"/>
      <c r="S61" s="311"/>
      <c r="T61" s="311"/>
      <c r="U61" s="311"/>
      <c r="V61" s="312"/>
      <c r="W61" s="26"/>
      <c r="X61" s="313"/>
      <c r="Y61" s="313"/>
      <c r="Z61" s="312"/>
      <c r="AA61" s="312"/>
      <c r="AB61" s="6"/>
      <c r="AC61" s="313"/>
      <c r="AD61" s="313"/>
      <c r="AE61" s="312"/>
      <c r="AF61" s="312"/>
      <c r="AG61" s="6"/>
      <c r="AH61" s="313"/>
      <c r="AI61" s="313"/>
      <c r="AJ61" s="312"/>
      <c r="AK61" s="312"/>
      <c r="AL61" s="6"/>
      <c r="AM61" s="313"/>
      <c r="AN61" s="313"/>
      <c r="AO61" s="312"/>
      <c r="AP61" s="312"/>
      <c r="AQ61" s="6"/>
      <c r="AR61" s="313"/>
      <c r="AS61" s="313"/>
      <c r="AT61" s="312"/>
      <c r="AU61" s="312"/>
      <c r="AV61" s="6"/>
    </row>
    <row r="62" spans="2:48" s="23" customFormat="1" outlineLevel="1" x14ac:dyDescent="0.3">
      <c r="B62" s="210" t="s">
        <v>266</v>
      </c>
      <c r="C62" s="211"/>
      <c r="D62" s="180">
        <f>+(D28+D31)/D41</f>
        <v>-3.1717034875642636</v>
      </c>
      <c r="E62" s="180">
        <f>+(E28+E31)/E41</f>
        <v>-1.8304138862408643</v>
      </c>
      <c r="F62" s="315">
        <f>+(F28+F31)/F41</f>
        <v>-2.5837230840472332</v>
      </c>
      <c r="G62" s="315">
        <f>+(G28+G31)/G41</f>
        <v>-1.7921681913015568</v>
      </c>
      <c r="H62" s="129"/>
      <c r="I62" s="315">
        <f>+(I28+I31)/I41</f>
        <v>-1.7235726649997785</v>
      </c>
      <c r="J62" s="315">
        <f>+(J28+J31)/J41</f>
        <v>-1.8605318005017988</v>
      </c>
      <c r="K62" s="315">
        <f>+(K28+K31)/K41</f>
        <v>-1.9516598448569742</v>
      </c>
      <c r="L62" s="180">
        <f>+(L28+L31)/L41</f>
        <v>-2.0960971356771032</v>
      </c>
      <c r="M62" s="28"/>
      <c r="N62" s="180">
        <f>+(N28+N31)/N41</f>
        <v>-2.0136766194331983</v>
      </c>
      <c r="O62" s="180">
        <f>+(O28+O31)/O41</f>
        <v>-1.9152752899337104</v>
      </c>
      <c r="P62" s="180">
        <f>+(P28+P31)/P41</f>
        <v>-2.1515240716482933</v>
      </c>
      <c r="Q62" s="180">
        <f>+(Q28+Q31)/Q41</f>
        <v>-2.7501740521215541</v>
      </c>
      <c r="R62" s="28"/>
      <c r="S62" s="180">
        <f t="shared" ref="S62:AA62" si="15">+(S28+S31)/S41</f>
        <v>-1.7497130279398361</v>
      </c>
      <c r="T62" s="180">
        <f t="shared" si="15"/>
        <v>-1.8277176642469066</v>
      </c>
      <c r="U62" s="180">
        <f t="shared" si="15"/>
        <v>-1.7473235630391852</v>
      </c>
      <c r="V62" s="180"/>
      <c r="W62" s="28"/>
      <c r="X62" s="180"/>
      <c r="Y62" s="180"/>
      <c r="Z62" s="180"/>
      <c r="AA62" s="180"/>
      <c r="AB62" s="28"/>
      <c r="AC62" s="180"/>
      <c r="AD62" s="180"/>
      <c r="AE62" s="180"/>
      <c r="AF62" s="180"/>
      <c r="AG62" s="28"/>
      <c r="AH62" s="180"/>
      <c r="AI62" s="180"/>
      <c r="AJ62" s="180"/>
      <c r="AK62" s="180"/>
      <c r="AL62" s="28"/>
      <c r="AM62" s="180"/>
      <c r="AN62" s="180"/>
      <c r="AO62" s="180"/>
      <c r="AP62" s="180"/>
      <c r="AQ62" s="28"/>
      <c r="AR62" s="180"/>
      <c r="AS62" s="180"/>
      <c r="AT62" s="180"/>
      <c r="AU62" s="180"/>
      <c r="AV62" s="28"/>
    </row>
    <row r="63" spans="2:48" s="23" customFormat="1" outlineLevel="1" x14ac:dyDescent="0.3">
      <c r="B63" s="210" t="s">
        <v>267</v>
      </c>
      <c r="C63" s="211"/>
      <c r="D63" s="180">
        <f>+D28/(D28+D31)</f>
        <v>0</v>
      </c>
      <c r="E63" s="180">
        <f>+E28/(E28+E31)</f>
        <v>8.1375793413985785E-3</v>
      </c>
      <c r="F63" s="315">
        <f>+F28/(F28+F31)</f>
        <v>0</v>
      </c>
      <c r="G63" s="315">
        <f>+G28/(G28+G31)</f>
        <v>0</v>
      </c>
      <c r="H63" s="129"/>
      <c r="I63" s="315">
        <f>+I28/(I28+I31)</f>
        <v>8.5546532987690757E-2</v>
      </c>
      <c r="J63" s="315">
        <f>+J28/(J28+J31)</f>
        <v>0.16813887778982817</v>
      </c>
      <c r="K63" s="315">
        <f>+K28/(K28+K31)</f>
        <v>0.12987992894360045</v>
      </c>
      <c r="L63" s="180">
        <f>+L28/(L28+L31)</f>
        <v>0.10329514383758555</v>
      </c>
      <c r="M63" s="28"/>
      <c r="N63" s="180">
        <f>+N28/(N28+N31)</f>
        <v>7.8071889470410452E-2</v>
      </c>
      <c r="O63" s="180">
        <f>+O28/(O28+O31)</f>
        <v>1.2492661414742708E-3</v>
      </c>
      <c r="P63" s="180">
        <f>+P28/(P28+P31)</f>
        <v>6.8333093904132544E-2</v>
      </c>
      <c r="Q63" s="180">
        <f>+Q28/(Q28+Q31)</f>
        <v>6.8343847069609609E-2</v>
      </c>
      <c r="R63" s="28"/>
      <c r="S63" s="180">
        <f t="shared" ref="S63:AA63" si="16">+S28/(S28+S31)</f>
        <v>8.1112704252786494E-2</v>
      </c>
      <c r="T63" s="180">
        <f t="shared" si="16"/>
        <v>0.12481109098857178</v>
      </c>
      <c r="U63" s="180">
        <f t="shared" si="16"/>
        <v>7.9253663276029576E-2</v>
      </c>
      <c r="V63" s="180"/>
      <c r="W63" s="28"/>
      <c r="X63" s="180"/>
      <c r="Y63" s="180"/>
      <c r="Z63" s="180"/>
      <c r="AA63" s="180"/>
      <c r="AB63" s="28"/>
      <c r="AC63" s="180"/>
      <c r="AD63" s="180"/>
      <c r="AE63" s="180"/>
      <c r="AF63" s="180"/>
      <c r="AG63" s="28"/>
      <c r="AH63" s="180"/>
      <c r="AI63" s="180"/>
      <c r="AJ63" s="180"/>
      <c r="AK63" s="180"/>
      <c r="AL63" s="28"/>
      <c r="AM63" s="180"/>
      <c r="AN63" s="180"/>
      <c r="AO63" s="180"/>
      <c r="AP63" s="180"/>
      <c r="AQ63" s="28"/>
      <c r="AR63" s="180"/>
      <c r="AS63" s="180"/>
      <c r="AT63" s="180"/>
      <c r="AU63" s="180"/>
      <c r="AV63" s="28"/>
    </row>
    <row r="64" spans="2:48" outlineLevel="1" x14ac:dyDescent="0.3">
      <c r="B64" s="210" t="s">
        <v>268</v>
      </c>
      <c r="C64" s="211"/>
      <c r="D64" s="316"/>
      <c r="E64" s="316"/>
      <c r="F64" s="316"/>
      <c r="G64" s="316"/>
      <c r="H64" s="317">
        <v>2.0203719785786638</v>
      </c>
      <c r="I64" s="318"/>
      <c r="J64" s="318"/>
      <c r="K64" s="318"/>
      <c r="L64" s="318"/>
      <c r="M64" s="317">
        <v>5.3342143043591674</v>
      </c>
      <c r="N64" s="318"/>
      <c r="O64" s="318"/>
      <c r="P64" s="318"/>
      <c r="Q64" s="318"/>
      <c r="R64" s="319">
        <v>2.2851112396616697</v>
      </c>
      <c r="S64" s="318"/>
      <c r="T64" s="318"/>
      <c r="U64" s="318"/>
      <c r="V64" s="318"/>
      <c r="W64" s="317"/>
      <c r="X64" s="320"/>
      <c r="Y64" s="320"/>
      <c r="Z64" s="320"/>
      <c r="AA64" s="320"/>
      <c r="AB64" s="317"/>
      <c r="AC64" s="320"/>
      <c r="AD64" s="320"/>
      <c r="AE64" s="320"/>
      <c r="AF64" s="320"/>
      <c r="AG64" s="317"/>
      <c r="AH64" s="320"/>
      <c r="AI64" s="320"/>
      <c r="AJ64" s="320"/>
      <c r="AK64" s="320"/>
      <c r="AL64" s="317"/>
      <c r="AM64" s="320"/>
      <c r="AN64" s="320"/>
      <c r="AO64" s="320"/>
      <c r="AP64" s="320"/>
      <c r="AQ64" s="317"/>
      <c r="AR64" s="320"/>
      <c r="AS64" s="320"/>
      <c r="AT64" s="320"/>
      <c r="AU64" s="320"/>
      <c r="AV64" s="317"/>
    </row>
    <row r="65" spans="2:48" outlineLevel="1" x14ac:dyDescent="0.3">
      <c r="B65" s="321"/>
      <c r="C65" s="44"/>
      <c r="D65" s="140"/>
      <c r="E65" s="140"/>
      <c r="F65" s="322"/>
      <c r="G65" s="322"/>
      <c r="H65" s="323"/>
      <c r="I65" s="140"/>
      <c r="J65" s="140"/>
      <c r="K65" s="322"/>
      <c r="L65" s="322"/>
      <c r="M65" s="323"/>
      <c r="N65" s="140"/>
      <c r="O65" s="140"/>
      <c r="P65" s="322"/>
      <c r="Q65" s="322"/>
      <c r="R65" s="323"/>
      <c r="S65" s="140"/>
      <c r="T65" s="140"/>
      <c r="U65" s="322"/>
      <c r="V65" s="322"/>
      <c r="W65" s="323"/>
      <c r="X65" s="140"/>
      <c r="Y65" s="318"/>
      <c r="Z65" s="318"/>
      <c r="AA65" s="324"/>
      <c r="AB65" s="31"/>
      <c r="AC65" s="140"/>
      <c r="AD65" s="140"/>
      <c r="AE65" s="322"/>
      <c r="AF65" s="322"/>
      <c r="AG65" s="323"/>
      <c r="AH65" s="140"/>
      <c r="AI65" s="140"/>
      <c r="AJ65" s="322"/>
      <c r="AK65" s="322"/>
      <c r="AL65" s="323"/>
      <c r="AM65" s="140"/>
      <c r="AN65" s="140"/>
      <c r="AO65" s="322"/>
      <c r="AP65" s="322"/>
      <c r="AQ65" s="323"/>
      <c r="AR65" s="140"/>
      <c r="AS65" s="140"/>
      <c r="AT65" s="322"/>
      <c r="AU65" s="322"/>
      <c r="AV65" s="323"/>
    </row>
    <row r="66" spans="2:48" outlineLevel="1" x14ac:dyDescent="0.3">
      <c r="B66" s="321"/>
      <c r="C66" s="44"/>
      <c r="D66" s="140"/>
      <c r="E66" s="140"/>
      <c r="F66" s="322"/>
      <c r="G66" s="322"/>
      <c r="H66" s="323"/>
      <c r="I66" s="140"/>
      <c r="J66" s="140"/>
      <c r="K66" s="322"/>
      <c r="L66" s="322"/>
      <c r="M66" s="323"/>
      <c r="N66" s="140"/>
      <c r="O66" s="140"/>
      <c r="P66" s="322"/>
      <c r="Q66" s="322"/>
      <c r="R66" s="323"/>
      <c r="S66" s="140"/>
      <c r="T66" s="140"/>
      <c r="U66" s="322"/>
      <c r="V66" s="322"/>
      <c r="W66" s="323"/>
      <c r="X66" s="140"/>
      <c r="Y66" s="180"/>
      <c r="Z66" s="180"/>
      <c r="AA66" s="324"/>
      <c r="AB66" s="325"/>
      <c r="AC66" s="140"/>
      <c r="AD66" s="140"/>
      <c r="AE66" s="322"/>
      <c r="AF66" s="322"/>
      <c r="AG66" s="323"/>
      <c r="AH66" s="140"/>
      <c r="AI66" s="140"/>
      <c r="AJ66" s="322"/>
      <c r="AK66" s="322"/>
      <c r="AL66" s="323"/>
      <c r="AM66" s="140"/>
      <c r="AN66" s="140"/>
      <c r="AO66" s="322"/>
      <c r="AP66" s="322"/>
      <c r="AQ66" s="323"/>
      <c r="AR66" s="140"/>
      <c r="AS66" s="140"/>
      <c r="AT66" s="322"/>
      <c r="AU66" s="322"/>
      <c r="AV66" s="323"/>
    </row>
    <row r="67" spans="2:48" outlineLevel="1" x14ac:dyDescent="0.3">
      <c r="B67" s="326"/>
      <c r="C67" s="327"/>
      <c r="D67" s="328"/>
      <c r="E67" s="328"/>
      <c r="F67" s="329"/>
      <c r="G67" s="329"/>
      <c r="H67" s="330"/>
      <c r="I67" s="328"/>
      <c r="J67" s="328"/>
      <c r="K67" s="329"/>
      <c r="L67" s="329"/>
      <c r="M67" s="330"/>
      <c r="N67" s="328"/>
      <c r="O67" s="328"/>
      <c r="P67" s="329"/>
      <c r="Q67" s="329"/>
      <c r="R67" s="330"/>
      <c r="S67" s="328"/>
      <c r="T67" s="328"/>
      <c r="U67" s="329"/>
      <c r="V67" s="329"/>
      <c r="W67" s="330"/>
      <c r="X67" s="328"/>
      <c r="Y67" s="328"/>
      <c r="Z67" s="329"/>
      <c r="AA67" s="331"/>
      <c r="AB67" s="332"/>
      <c r="AC67" s="328"/>
      <c r="AD67" s="328"/>
      <c r="AE67" s="329"/>
      <c r="AF67" s="329"/>
      <c r="AG67" s="330"/>
      <c r="AH67" s="328"/>
      <c r="AI67" s="328"/>
      <c r="AJ67" s="329"/>
      <c r="AK67" s="329"/>
      <c r="AL67" s="330"/>
      <c r="AM67" s="328"/>
      <c r="AN67" s="328"/>
      <c r="AO67" s="329"/>
      <c r="AP67" s="329"/>
      <c r="AQ67" s="330"/>
      <c r="AR67" s="328"/>
      <c r="AS67" s="328"/>
      <c r="AT67" s="329"/>
      <c r="AU67" s="329"/>
      <c r="AV67" s="330"/>
    </row>
  </sheetData>
  <dataConsolidate/>
  <mergeCells count="27">
    <mergeCell ref="B51:C51"/>
    <mergeCell ref="B52:C52"/>
    <mergeCell ref="B53:C53"/>
    <mergeCell ref="B44:C44"/>
    <mergeCell ref="B45:C45"/>
    <mergeCell ref="B47:C47"/>
    <mergeCell ref="B48:C48"/>
    <mergeCell ref="B49:C49"/>
    <mergeCell ref="B50:C50"/>
    <mergeCell ref="B42:C42"/>
    <mergeCell ref="B20:C20"/>
    <mergeCell ref="B21:C21"/>
    <mergeCell ref="B22:C22"/>
    <mergeCell ref="B23:C23"/>
    <mergeCell ref="B34:C34"/>
    <mergeCell ref="B35:C35"/>
    <mergeCell ref="B36:C36"/>
    <mergeCell ref="B37:C37"/>
    <mergeCell ref="B38:C38"/>
    <mergeCell ref="B39:C39"/>
    <mergeCell ref="B41:C41"/>
    <mergeCell ref="B19:C19"/>
    <mergeCell ref="B3:C3"/>
    <mergeCell ref="B5:C5"/>
    <mergeCell ref="B6:C6"/>
    <mergeCell ref="B8:C8"/>
    <mergeCell ref="B10:C1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173C-52DC-43C0-9DE7-86CD8C82289A}">
  <sheetPr>
    <pageSetUpPr fitToPage="1"/>
  </sheetPr>
  <dimension ref="B1:AV57"/>
  <sheetViews>
    <sheetView showGridLines="0" zoomScaleNormal="100" workbookViewId="0">
      <pane xSplit="3" ySplit="4" topLeftCell="M5" activePane="bottomRight" state="frozen"/>
      <selection activeCell="E29" sqref="E29"/>
      <selection pane="topRight" activeCell="E29" sqref="E29"/>
      <selection pane="bottomLeft" activeCell="E29" sqref="E29"/>
      <selection pane="bottomRight" activeCell="B4" sqref="B4"/>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hidden="1" customWidth="1" outlineLevel="1"/>
    <col min="6" max="7" width="11.5546875" style="3" hidden="1" customWidth="1" outlineLevel="1"/>
    <col min="8" max="8" width="11.5546875" style="3" customWidth="1" collapsed="1"/>
    <col min="9" max="10" width="11.5546875" style="1" hidden="1" customWidth="1" outlineLevel="1"/>
    <col min="11" max="12" width="11.5546875" style="3" hidden="1" customWidth="1" outlineLevel="1"/>
    <col min="13" max="13" width="11.5546875" style="3" customWidth="1" collapsed="1"/>
    <col min="14" max="15" width="11.5546875" style="1" hidden="1" customWidth="1" outlineLevel="1"/>
    <col min="16" max="17" width="11.5546875" style="3" hidden="1" customWidth="1" outlineLevel="1"/>
    <col min="18" max="18" width="11.5546875" style="3" customWidth="1" collapsed="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2:48" ht="16.2" customHeight="1" x14ac:dyDescent="0.3">
      <c r="B1" s="248" t="s">
        <v>211</v>
      </c>
      <c r="D1" s="45"/>
      <c r="E1" s="150"/>
      <c r="F1" s="150"/>
      <c r="G1" s="150"/>
      <c r="H1" s="150"/>
      <c r="I1" s="227"/>
      <c r="J1" s="227"/>
      <c r="K1" s="227"/>
      <c r="L1" s="227"/>
      <c r="M1" s="163"/>
      <c r="N1" s="227"/>
      <c r="O1" s="227"/>
      <c r="P1" s="227"/>
      <c r="Q1" s="227"/>
      <c r="R1" s="196"/>
      <c r="S1" s="227"/>
      <c r="T1" s="227"/>
      <c r="U1" s="227"/>
      <c r="V1" s="227"/>
      <c r="W1" s="196"/>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2:48" ht="5.4" customHeight="1" x14ac:dyDescent="0.3">
      <c r="B2" s="99"/>
      <c r="D2" s="45"/>
      <c r="E2" s="150"/>
      <c r="F2" s="150"/>
      <c r="G2" s="150"/>
      <c r="H2" s="150"/>
      <c r="I2" s="227"/>
      <c r="J2" s="227"/>
      <c r="K2" s="227"/>
      <c r="L2" s="227"/>
      <c r="M2" s="163"/>
      <c r="N2" s="227"/>
      <c r="O2" s="227"/>
      <c r="P2" s="227"/>
      <c r="Q2" s="227"/>
      <c r="R2" s="196"/>
      <c r="S2" s="227"/>
      <c r="T2" s="227"/>
      <c r="U2" s="227"/>
      <c r="V2" s="227"/>
      <c r="W2" s="196"/>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row>
    <row r="3" spans="2:48" ht="15.6" x14ac:dyDescent="0.3">
      <c r="B3" s="388" t="s">
        <v>269</v>
      </c>
      <c r="C3" s="389"/>
      <c r="D3" s="13" t="s">
        <v>15</v>
      </c>
      <c r="E3" s="13" t="s">
        <v>82</v>
      </c>
      <c r="F3" s="13" t="s">
        <v>84</v>
      </c>
      <c r="G3" s="13" t="s">
        <v>148</v>
      </c>
      <c r="H3" s="39" t="s">
        <v>148</v>
      </c>
      <c r="I3" s="13" t="s">
        <v>147</v>
      </c>
      <c r="J3" s="13" t="s">
        <v>146</v>
      </c>
      <c r="K3" s="13" t="s">
        <v>145</v>
      </c>
      <c r="L3" s="13" t="s">
        <v>142</v>
      </c>
      <c r="M3" s="39" t="s">
        <v>142</v>
      </c>
      <c r="N3" s="13" t="s">
        <v>149</v>
      </c>
      <c r="O3" s="13" t="s">
        <v>157</v>
      </c>
      <c r="P3" s="13" t="s">
        <v>159</v>
      </c>
      <c r="Q3" s="13" t="s">
        <v>172</v>
      </c>
      <c r="R3" s="39" t="s">
        <v>172</v>
      </c>
      <c r="S3" s="13" t="s">
        <v>188</v>
      </c>
      <c r="T3" s="13" t="s">
        <v>191</v>
      </c>
      <c r="U3" s="13" t="s">
        <v>204</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161</v>
      </c>
      <c r="AN3" s="15" t="s">
        <v>162</v>
      </c>
      <c r="AO3" s="15" t="s">
        <v>163</v>
      </c>
      <c r="AP3" s="15" t="s">
        <v>164</v>
      </c>
      <c r="AQ3" s="41" t="s">
        <v>164</v>
      </c>
      <c r="AR3" s="15" t="s">
        <v>192</v>
      </c>
      <c r="AS3" s="15" t="s">
        <v>193</v>
      </c>
      <c r="AT3" s="15" t="s">
        <v>194</v>
      </c>
      <c r="AU3" s="15" t="s">
        <v>195</v>
      </c>
      <c r="AV3" s="41" t="s">
        <v>195</v>
      </c>
    </row>
    <row r="4" spans="2:48" ht="16.2" x14ac:dyDescent="0.45">
      <c r="B4" s="262" t="s">
        <v>3</v>
      </c>
      <c r="C4" s="263"/>
      <c r="D4" s="14" t="s">
        <v>19</v>
      </c>
      <c r="E4" s="14" t="s">
        <v>81</v>
      </c>
      <c r="F4" s="14" t="s">
        <v>85</v>
      </c>
      <c r="G4" s="14" t="s">
        <v>95</v>
      </c>
      <c r="H4" s="40" t="s">
        <v>96</v>
      </c>
      <c r="I4" s="14" t="s">
        <v>97</v>
      </c>
      <c r="J4" s="14" t="s">
        <v>98</v>
      </c>
      <c r="K4" s="14" t="s">
        <v>99</v>
      </c>
      <c r="L4" s="14" t="s">
        <v>143</v>
      </c>
      <c r="M4" s="40" t="s">
        <v>144</v>
      </c>
      <c r="N4" s="14" t="s">
        <v>150</v>
      </c>
      <c r="O4" s="14" t="s">
        <v>158</v>
      </c>
      <c r="P4" s="14" t="s">
        <v>160</v>
      </c>
      <c r="Q4" s="14" t="s">
        <v>173</v>
      </c>
      <c r="R4" s="40" t="s">
        <v>174</v>
      </c>
      <c r="S4" s="14" t="s">
        <v>189</v>
      </c>
      <c r="T4" s="14" t="s">
        <v>190</v>
      </c>
      <c r="U4" s="14" t="s">
        <v>205</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165</v>
      </c>
      <c r="AN4" s="12" t="s">
        <v>166</v>
      </c>
      <c r="AO4" s="12" t="s">
        <v>167</v>
      </c>
      <c r="AP4" s="12" t="s">
        <v>168</v>
      </c>
      <c r="AQ4" s="42" t="s">
        <v>169</v>
      </c>
      <c r="AR4" s="12" t="s">
        <v>196</v>
      </c>
      <c r="AS4" s="12" t="s">
        <v>197</v>
      </c>
      <c r="AT4" s="12" t="s">
        <v>198</v>
      </c>
      <c r="AU4" s="12" t="s">
        <v>199</v>
      </c>
      <c r="AV4" s="42" t="s">
        <v>200</v>
      </c>
    </row>
    <row r="5" spans="2:48" outlineLevel="1" x14ac:dyDescent="0.3">
      <c r="B5" s="406" t="s">
        <v>270</v>
      </c>
      <c r="C5" s="407"/>
      <c r="D5" s="4"/>
      <c r="E5" s="4"/>
      <c r="F5" s="4"/>
      <c r="G5" s="4"/>
      <c r="H5" s="333"/>
      <c r="I5" s="4"/>
      <c r="J5" s="4"/>
      <c r="K5" s="334"/>
      <c r="L5" s="4"/>
      <c r="M5" s="333"/>
      <c r="N5" s="4"/>
      <c r="O5" s="4"/>
      <c r="P5" s="4"/>
      <c r="Q5" s="4"/>
      <c r="R5" s="333"/>
      <c r="S5" s="4"/>
      <c r="T5" s="4"/>
      <c r="U5" s="4"/>
      <c r="V5" s="4"/>
      <c r="W5" s="333"/>
      <c r="X5" s="4"/>
      <c r="Y5" s="4"/>
      <c r="Z5" s="4"/>
      <c r="AA5" s="4"/>
      <c r="AB5" s="333"/>
      <c r="AC5" s="4"/>
      <c r="AD5" s="4"/>
      <c r="AE5" s="4"/>
      <c r="AF5" s="4"/>
      <c r="AG5" s="333"/>
      <c r="AH5" s="4"/>
      <c r="AI5" s="4"/>
      <c r="AJ5" s="4"/>
      <c r="AK5" s="4"/>
      <c r="AL5" s="333"/>
      <c r="AM5" s="4"/>
      <c r="AN5" s="4"/>
      <c r="AO5" s="4"/>
      <c r="AP5" s="4"/>
      <c r="AQ5" s="333"/>
      <c r="AR5" s="4"/>
      <c r="AS5" s="4"/>
      <c r="AT5" s="4"/>
      <c r="AU5" s="4"/>
      <c r="AV5" s="333"/>
    </row>
    <row r="6" spans="2:48" outlineLevel="1" x14ac:dyDescent="0.3">
      <c r="B6" s="321" t="s">
        <v>271</v>
      </c>
      <c r="C6" s="44"/>
      <c r="D6" s="16">
        <v>760.40000000000043</v>
      </c>
      <c r="E6" s="101">
        <v>658.59999999999968</v>
      </c>
      <c r="F6" s="16">
        <v>1373.200000000001</v>
      </c>
      <c r="G6" s="16">
        <v>802.400000000001</v>
      </c>
      <c r="H6" s="17">
        <v>3594.6000000000054</v>
      </c>
      <c r="I6" s="16">
        <v>885.29999999999882</v>
      </c>
      <c r="J6" s="16">
        <v>324.79999999999905</v>
      </c>
      <c r="K6" s="16">
        <v>-678.09999999999923</v>
      </c>
      <c r="L6" s="16">
        <f>924.7-K6-J6-I6</f>
        <v>392.70000000000141</v>
      </c>
      <c r="M6" s="17">
        <v>924.70000000000437</v>
      </c>
      <c r="N6" s="16">
        <v>622.20000000000016</v>
      </c>
      <c r="O6" s="16">
        <v>659.4</v>
      </c>
      <c r="P6" s="16">
        <v>1154.1999999999989</v>
      </c>
      <c r="Q6" s="16">
        <v>1764.6</v>
      </c>
      <c r="R6" s="17">
        <v>4200.3999999999978</v>
      </c>
      <c r="S6" s="16">
        <v>816.10000000000014</v>
      </c>
      <c r="T6" s="16">
        <v>675.00000000000011</v>
      </c>
      <c r="U6" s="16">
        <v>913.69999999999959</v>
      </c>
      <c r="V6" s="16"/>
      <c r="W6" s="17"/>
      <c r="X6" s="16"/>
      <c r="Y6" s="16"/>
      <c r="Z6" s="16"/>
      <c r="AA6" s="16"/>
      <c r="AB6" s="17"/>
      <c r="AC6" s="16"/>
      <c r="AD6" s="16"/>
      <c r="AE6" s="16"/>
      <c r="AF6" s="16"/>
      <c r="AG6" s="17"/>
      <c r="AH6" s="16"/>
      <c r="AI6" s="16"/>
      <c r="AJ6" s="16"/>
      <c r="AK6" s="16"/>
      <c r="AL6" s="17"/>
      <c r="AM6" s="16"/>
      <c r="AN6" s="16"/>
      <c r="AO6" s="16"/>
      <c r="AP6" s="16"/>
      <c r="AQ6" s="17"/>
      <c r="AR6" s="16"/>
      <c r="AS6" s="16"/>
      <c r="AT6" s="16"/>
      <c r="AU6" s="16"/>
      <c r="AV6" s="17"/>
    </row>
    <row r="7" spans="2:48" outlineLevel="1" x14ac:dyDescent="0.3">
      <c r="B7" s="321" t="s">
        <v>272</v>
      </c>
      <c r="C7" s="44"/>
      <c r="D7" s="16">
        <v>350.8</v>
      </c>
      <c r="E7" s="16">
        <f>723.5-D7</f>
        <v>372.7</v>
      </c>
      <c r="F7" s="16">
        <f>1083.6-E7-D7</f>
        <v>360.09999999999985</v>
      </c>
      <c r="G7" s="16">
        <f>1449.3-F7-E7-D7</f>
        <v>365.7</v>
      </c>
      <c r="H7" s="17">
        <f t="shared" ref="H7:H13" si="0">SUM(D7:G7)</f>
        <v>1449.3</v>
      </c>
      <c r="I7" s="16">
        <v>369.2</v>
      </c>
      <c r="J7" s="16">
        <f>746.9-I7</f>
        <v>377.7</v>
      </c>
      <c r="K7" s="16">
        <f>1124-J7-I7</f>
        <v>377.09999999999997</v>
      </c>
      <c r="L7" s="16">
        <f>1503.2-K7-J7-I7</f>
        <v>379.2000000000001</v>
      </c>
      <c r="M7" s="17">
        <f t="shared" ref="M7:M13" si="1">SUM(I7:L7)</f>
        <v>1503.2</v>
      </c>
      <c r="N7" s="16">
        <v>388.4</v>
      </c>
      <c r="O7" s="16">
        <f>772.9-N7</f>
        <v>384.5</v>
      </c>
      <c r="P7" s="16">
        <f>1146.2-O7-N7</f>
        <v>373.30000000000007</v>
      </c>
      <c r="Q7" s="16">
        <f>1524.1-P7-O7-N7</f>
        <v>377.89999999999975</v>
      </c>
      <c r="R7" s="17">
        <f t="shared" ref="R7:R13" si="2">SUM(N7:Q7)</f>
        <v>1524.1</v>
      </c>
      <c r="S7" s="16">
        <v>386.4</v>
      </c>
      <c r="T7" s="16">
        <f>777.7-S7</f>
        <v>391.30000000000007</v>
      </c>
      <c r="U7" s="16">
        <f>1169-T7-S7</f>
        <v>391.29999999999995</v>
      </c>
      <c r="V7" s="16"/>
      <c r="W7" s="17"/>
      <c r="X7" s="16"/>
      <c r="Y7" s="16"/>
      <c r="Z7" s="16"/>
      <c r="AA7" s="16"/>
      <c r="AB7" s="17"/>
      <c r="AC7" s="16"/>
      <c r="AD7" s="16"/>
      <c r="AE7" s="16"/>
      <c r="AF7" s="16"/>
      <c r="AG7" s="17"/>
      <c r="AH7" s="16"/>
      <c r="AI7" s="16"/>
      <c r="AJ7" s="16"/>
      <c r="AK7" s="16"/>
      <c r="AL7" s="17"/>
      <c r="AM7" s="16"/>
      <c r="AN7" s="16"/>
      <c r="AO7" s="16"/>
      <c r="AP7" s="16"/>
      <c r="AQ7" s="17"/>
      <c r="AR7" s="16"/>
      <c r="AS7" s="16"/>
      <c r="AT7" s="16"/>
      <c r="AU7" s="16"/>
      <c r="AV7" s="17"/>
    </row>
    <row r="8" spans="2:48" outlineLevel="1" x14ac:dyDescent="0.3">
      <c r="B8" s="321" t="s">
        <v>224</v>
      </c>
      <c r="C8" s="44"/>
      <c r="D8" s="16">
        <v>-354.6</v>
      </c>
      <c r="E8" s="16">
        <f>-714.5-D8</f>
        <v>-359.9</v>
      </c>
      <c r="F8" s="16">
        <f>-1243.5-E8-D8</f>
        <v>-529</v>
      </c>
      <c r="G8" s="101">
        <f>-1495.4-F8-E8-D8</f>
        <v>-251.90000000000009</v>
      </c>
      <c r="H8" s="17">
        <f t="shared" si="0"/>
        <v>-1495.4</v>
      </c>
      <c r="I8" s="16">
        <v>10.4</v>
      </c>
      <c r="J8" s="16">
        <f>47.7-I8</f>
        <v>37.300000000000004</v>
      </c>
      <c r="K8" s="16">
        <f>20-J8-I8</f>
        <v>-27.700000000000003</v>
      </c>
      <c r="L8" s="101">
        <f>-25.8-K8-J8-I8</f>
        <v>-45.800000000000004</v>
      </c>
      <c r="M8" s="17">
        <f t="shared" si="1"/>
        <v>-25.800000000000004</v>
      </c>
      <c r="N8" s="16">
        <v>-6.1</v>
      </c>
      <c r="O8" s="16">
        <f>-25.2-N8</f>
        <v>-19.100000000000001</v>
      </c>
      <c r="P8" s="16">
        <f>-113.2-O8-N8</f>
        <v>-88</v>
      </c>
      <c r="Q8" s="101">
        <f>-146.2-P8-O8-N8</f>
        <v>-32.999999999999986</v>
      </c>
      <c r="R8" s="17">
        <f t="shared" si="2"/>
        <v>-146.19999999999999</v>
      </c>
      <c r="S8" s="16">
        <v>-0.3</v>
      </c>
      <c r="T8" s="16">
        <f>28.4-S8</f>
        <v>28.7</v>
      </c>
      <c r="U8" s="16">
        <f>35-T8-S8</f>
        <v>6.6000000000000005</v>
      </c>
      <c r="V8" s="16"/>
      <c r="W8" s="17"/>
      <c r="X8" s="16"/>
      <c r="Y8" s="16"/>
      <c r="Z8" s="16"/>
      <c r="AA8" s="16"/>
      <c r="AB8" s="17"/>
      <c r="AC8" s="16"/>
      <c r="AD8" s="16"/>
      <c r="AE8" s="16"/>
      <c r="AF8" s="16"/>
      <c r="AG8" s="17"/>
      <c r="AH8" s="16"/>
      <c r="AI8" s="16"/>
      <c r="AJ8" s="16"/>
      <c r="AK8" s="16"/>
      <c r="AL8" s="17"/>
      <c r="AM8" s="16"/>
      <c r="AN8" s="16"/>
      <c r="AO8" s="16"/>
      <c r="AP8" s="16"/>
      <c r="AQ8" s="17"/>
      <c r="AR8" s="16"/>
      <c r="AS8" s="16"/>
      <c r="AT8" s="16"/>
      <c r="AU8" s="16"/>
      <c r="AV8" s="17"/>
    </row>
    <row r="9" spans="2:48" outlineLevel="1" x14ac:dyDescent="0.3">
      <c r="B9" s="321" t="s">
        <v>273</v>
      </c>
      <c r="C9" s="44"/>
      <c r="D9" s="16">
        <v>-55</v>
      </c>
      <c r="E9" s="16">
        <f>-108.2-D9</f>
        <v>-53.2</v>
      </c>
      <c r="F9" s="16">
        <f>-174.1-E9-D9</f>
        <v>-65.899999999999991</v>
      </c>
      <c r="G9" s="101">
        <f>-250.6-F9-E9-D9</f>
        <v>-76.5</v>
      </c>
      <c r="H9" s="17">
        <f t="shared" si="0"/>
        <v>-250.6</v>
      </c>
      <c r="I9" s="16">
        <v>-62.9</v>
      </c>
      <c r="J9" s="16">
        <f>-116.3-I9</f>
        <v>-53.4</v>
      </c>
      <c r="K9" s="16">
        <f>-182.3-J9-I9</f>
        <v>-66</v>
      </c>
      <c r="L9" s="101">
        <f>-280.7-K9-J9-I9</f>
        <v>-98.399999999999977</v>
      </c>
      <c r="M9" s="17">
        <f t="shared" si="1"/>
        <v>-280.7</v>
      </c>
      <c r="N9" s="16">
        <v>-69</v>
      </c>
      <c r="O9" s="16">
        <f>-131.3-N9</f>
        <v>-62.300000000000011</v>
      </c>
      <c r="P9" s="16">
        <f>-238.3-O9-N9</f>
        <v>-107</v>
      </c>
      <c r="Q9" s="101">
        <f>-347.3-P9-O9-N9</f>
        <v>-109</v>
      </c>
      <c r="R9" s="17">
        <f t="shared" si="2"/>
        <v>-347.3</v>
      </c>
      <c r="S9" s="16">
        <v>-46.6</v>
      </c>
      <c r="T9" s="16">
        <f>-118.7-S9</f>
        <v>-72.099999999999994</v>
      </c>
      <c r="U9" s="16">
        <f>-175-T9-S9</f>
        <v>-56.300000000000004</v>
      </c>
      <c r="V9" s="16"/>
      <c r="W9" s="17"/>
      <c r="X9" s="16"/>
      <c r="Y9" s="16"/>
      <c r="Z9" s="16"/>
      <c r="AA9" s="16"/>
      <c r="AB9" s="17"/>
      <c r="AC9" s="16"/>
      <c r="AD9" s="16"/>
      <c r="AE9" s="16"/>
      <c r="AF9" s="16"/>
      <c r="AG9" s="17"/>
      <c r="AH9" s="16"/>
      <c r="AI9" s="16"/>
      <c r="AJ9" s="16"/>
      <c r="AK9" s="16"/>
      <c r="AL9" s="17"/>
      <c r="AM9" s="16"/>
      <c r="AN9" s="16"/>
      <c r="AO9" s="16"/>
      <c r="AP9" s="16"/>
      <c r="AQ9" s="17"/>
      <c r="AR9" s="16"/>
      <c r="AS9" s="16"/>
      <c r="AT9" s="16"/>
      <c r="AU9" s="16"/>
      <c r="AV9" s="17"/>
    </row>
    <row r="10" spans="2:48" outlineLevel="1" x14ac:dyDescent="0.3">
      <c r="B10" s="321" t="s">
        <v>274</v>
      </c>
      <c r="C10" s="44"/>
      <c r="D10" s="16">
        <v>63.7</v>
      </c>
      <c r="E10" s="16">
        <f>93.3-D10</f>
        <v>29.599999999999994</v>
      </c>
      <c r="F10" s="16">
        <f>163.7-E10-D10</f>
        <v>70.399999999999991</v>
      </c>
      <c r="G10" s="101">
        <f>216.8-F10-E10-D10</f>
        <v>53.100000000000037</v>
      </c>
      <c r="H10" s="17">
        <f t="shared" si="0"/>
        <v>216.8</v>
      </c>
      <c r="I10" s="16">
        <v>64.3</v>
      </c>
      <c r="J10" s="16">
        <f>98.1-I10</f>
        <v>33.799999999999997</v>
      </c>
      <c r="K10" s="16">
        <f>165.6-J10-I10</f>
        <v>67.500000000000014</v>
      </c>
      <c r="L10" s="101">
        <f>227.7-K10-J10-I10</f>
        <v>62.099999999999994</v>
      </c>
      <c r="M10" s="17">
        <f t="shared" si="1"/>
        <v>227.70000000000002</v>
      </c>
      <c r="N10" s="16">
        <v>77.2</v>
      </c>
      <c r="O10" s="16">
        <f>130.2-N10</f>
        <v>52.999999999999986</v>
      </c>
      <c r="P10" s="16">
        <f>226.7-O10-N10</f>
        <v>96.499999999999986</v>
      </c>
      <c r="Q10" s="101">
        <f>336-P10-O10-N10</f>
        <v>109.3</v>
      </c>
      <c r="R10" s="17">
        <f t="shared" si="2"/>
        <v>336</v>
      </c>
      <c r="S10" s="16">
        <v>44.9</v>
      </c>
      <c r="T10" s="16">
        <f>100.8-S10</f>
        <v>55.9</v>
      </c>
      <c r="U10" s="16">
        <f>145.9-T10-S10</f>
        <v>45.1</v>
      </c>
      <c r="V10" s="16"/>
      <c r="W10" s="17"/>
      <c r="X10" s="16"/>
      <c r="Y10" s="16"/>
      <c r="Z10" s="16"/>
      <c r="AA10" s="16"/>
      <c r="AB10" s="17"/>
      <c r="AC10" s="16"/>
      <c r="AD10" s="16"/>
      <c r="AE10" s="16"/>
      <c r="AF10" s="16"/>
      <c r="AG10" s="17"/>
      <c r="AH10" s="16"/>
      <c r="AI10" s="16"/>
      <c r="AJ10" s="16"/>
      <c r="AK10" s="16"/>
      <c r="AL10" s="17"/>
      <c r="AM10" s="16"/>
      <c r="AN10" s="16"/>
      <c r="AO10" s="16"/>
      <c r="AP10" s="16"/>
      <c r="AQ10" s="17"/>
      <c r="AR10" s="16"/>
      <c r="AS10" s="16"/>
      <c r="AT10" s="16"/>
      <c r="AU10" s="16"/>
      <c r="AV10" s="17"/>
    </row>
    <row r="11" spans="2:48" outlineLevel="1" x14ac:dyDescent="0.3">
      <c r="B11" s="321" t="s">
        <v>275</v>
      </c>
      <c r="C11" s="44"/>
      <c r="D11" s="16">
        <v>0</v>
      </c>
      <c r="E11" s="16">
        <f>-21-D11</f>
        <v>-21</v>
      </c>
      <c r="F11" s="16">
        <f>-622.8-E11-D11</f>
        <v>-601.79999999999995</v>
      </c>
      <c r="G11" s="101">
        <f>-622.8-F11-E11-D11</f>
        <v>0</v>
      </c>
      <c r="H11" s="17">
        <f t="shared" si="0"/>
        <v>-622.79999999999995</v>
      </c>
      <c r="I11" s="16">
        <v>0</v>
      </c>
      <c r="J11" s="16">
        <f>0-I11</f>
        <v>0</v>
      </c>
      <c r="K11" s="16">
        <f>0-J11-I11</f>
        <v>0</v>
      </c>
      <c r="L11" s="101">
        <f>0-K11-J11-I11</f>
        <v>0</v>
      </c>
      <c r="M11" s="17">
        <f t="shared" si="1"/>
        <v>0</v>
      </c>
      <c r="N11" s="16">
        <v>0</v>
      </c>
      <c r="O11" s="16">
        <f>0-N11</f>
        <v>0</v>
      </c>
      <c r="P11" s="16">
        <f>0-O11-N11</f>
        <v>0</v>
      </c>
      <c r="Q11" s="101">
        <f>-864.5-P11-O11-N11</f>
        <v>-864.5</v>
      </c>
      <c r="R11" s="17">
        <f t="shared" si="2"/>
        <v>-864.5</v>
      </c>
      <c r="S11" s="16">
        <v>0</v>
      </c>
      <c r="T11" s="16">
        <f>0-S11</f>
        <v>0</v>
      </c>
      <c r="U11" s="16">
        <f t="shared" ref="U11" si="3">0-T11-S11</f>
        <v>0</v>
      </c>
      <c r="V11" s="16"/>
      <c r="W11" s="17"/>
      <c r="X11" s="16"/>
      <c r="Y11" s="16"/>
      <c r="Z11" s="16"/>
      <c r="AA11" s="16"/>
      <c r="AB11" s="17"/>
      <c r="AC11" s="16"/>
      <c r="AD11" s="16"/>
      <c r="AE11" s="16"/>
      <c r="AF11" s="16"/>
      <c r="AG11" s="17"/>
      <c r="AH11" s="16"/>
      <c r="AI11" s="16"/>
      <c r="AJ11" s="16"/>
      <c r="AK11" s="16"/>
      <c r="AL11" s="17"/>
      <c r="AM11" s="16"/>
      <c r="AN11" s="16"/>
      <c r="AO11" s="16"/>
      <c r="AP11" s="16"/>
      <c r="AQ11" s="17"/>
      <c r="AR11" s="16"/>
      <c r="AS11" s="16"/>
      <c r="AT11" s="16"/>
      <c r="AU11" s="16"/>
      <c r="AV11" s="17"/>
    </row>
    <row r="12" spans="2:48" outlineLevel="1" x14ac:dyDescent="0.3">
      <c r="B12" s="321" t="s">
        <v>276</v>
      </c>
      <c r="C12" s="44"/>
      <c r="D12" s="16">
        <v>97.3</v>
      </c>
      <c r="E12" s="16">
        <f>192.1-D12</f>
        <v>94.8</v>
      </c>
      <c r="F12" s="16">
        <f>255.4-E12-D12</f>
        <v>63.300000000000026</v>
      </c>
      <c r="G12" s="101">
        <f>308-F12-E12-D12</f>
        <v>52.59999999999998</v>
      </c>
      <c r="H12" s="17">
        <f t="shared" si="0"/>
        <v>308</v>
      </c>
      <c r="I12" s="16">
        <v>90.3</v>
      </c>
      <c r="J12" s="16">
        <f>146.6-I12</f>
        <v>56.3</v>
      </c>
      <c r="K12" s="16">
        <f>188-J12-I12</f>
        <v>41.399999999999991</v>
      </c>
      <c r="L12" s="101">
        <f>248.6-K12-J12-I12</f>
        <v>60.59999999999998</v>
      </c>
      <c r="M12" s="17">
        <f t="shared" si="1"/>
        <v>248.59999999999997</v>
      </c>
      <c r="N12" s="16">
        <v>99.3</v>
      </c>
      <c r="O12" s="16">
        <f>175.3-N12</f>
        <v>76.000000000000014</v>
      </c>
      <c r="P12" s="16">
        <f>255.3-O12-N12</f>
        <v>80.000000000000014</v>
      </c>
      <c r="Q12" s="101">
        <f>319.1-P12-O12-N12</f>
        <v>63.800000000000026</v>
      </c>
      <c r="R12" s="17">
        <f t="shared" si="2"/>
        <v>319.10000000000002</v>
      </c>
      <c r="S12" s="16">
        <v>95.8</v>
      </c>
      <c r="T12" s="16">
        <f>149.2-S12</f>
        <v>53.399999999999991</v>
      </c>
      <c r="U12" s="16">
        <f>206.6-T12-S12</f>
        <v>57.399999999999991</v>
      </c>
      <c r="V12" s="16"/>
      <c r="W12" s="17"/>
      <c r="X12" s="16"/>
      <c r="Y12" s="16"/>
      <c r="Z12" s="16"/>
      <c r="AA12" s="16"/>
      <c r="AB12" s="17"/>
      <c r="AC12" s="16"/>
      <c r="AD12" s="16"/>
      <c r="AE12" s="16"/>
      <c r="AF12" s="16"/>
      <c r="AG12" s="17"/>
      <c r="AH12" s="16"/>
      <c r="AI12" s="16"/>
      <c r="AJ12" s="16"/>
      <c r="AK12" s="16"/>
      <c r="AL12" s="17"/>
      <c r="AM12" s="16"/>
      <c r="AN12" s="16"/>
      <c r="AO12" s="16"/>
      <c r="AP12" s="16"/>
      <c r="AQ12" s="17"/>
      <c r="AR12" s="16"/>
      <c r="AS12" s="16"/>
      <c r="AT12" s="16"/>
      <c r="AU12" s="16"/>
      <c r="AV12" s="17"/>
    </row>
    <row r="13" spans="2:48" outlineLevel="1" x14ac:dyDescent="0.3">
      <c r="B13" s="335" t="s">
        <v>277</v>
      </c>
      <c r="C13" s="336"/>
      <c r="D13" s="16">
        <v>6.1</v>
      </c>
      <c r="E13" s="101">
        <f>5.4+91.1-D13</f>
        <v>90.4</v>
      </c>
      <c r="F13" s="101">
        <f>10.5+122.3-E13-D13</f>
        <v>36.300000000000004</v>
      </c>
      <c r="G13" s="101">
        <f>10.5+187.9-F13-E13-D13</f>
        <v>65.599999999999994</v>
      </c>
      <c r="H13" s="17">
        <f t="shared" si="0"/>
        <v>198.4</v>
      </c>
      <c r="I13" s="101">
        <f>5.1+294.9</f>
        <v>300</v>
      </c>
      <c r="J13" s="101">
        <f>596.3+67.7-I13</f>
        <v>364</v>
      </c>
      <c r="K13" s="101">
        <f>902.4+124.6+63.7-J13-I13</f>
        <v>426.70000000000005</v>
      </c>
      <c r="L13" s="101">
        <f>1197.6+454.4+24.5-K13-J13-I13</f>
        <v>585.79999999999995</v>
      </c>
      <c r="M13" s="17">
        <f t="shared" si="1"/>
        <v>1676.5</v>
      </c>
      <c r="N13" s="101">
        <f>308.3+132.6-10.2</f>
        <v>430.7</v>
      </c>
      <c r="O13" s="101">
        <f>617.9+175.4-15.4-N13</f>
        <v>347.2</v>
      </c>
      <c r="P13" s="101">
        <f>931.7+204.7-6.8-O13-N13</f>
        <v>351.7000000000001</v>
      </c>
      <c r="Q13" s="101">
        <f>1248.6+226.2-6-P13-O13-N13</f>
        <v>339.19999999999987</v>
      </c>
      <c r="R13" s="17">
        <f t="shared" si="2"/>
        <v>1468.8</v>
      </c>
      <c r="S13" s="101">
        <v>0</v>
      </c>
      <c r="T13" s="101">
        <f>0-S13</f>
        <v>0</v>
      </c>
      <c r="U13" s="101">
        <f>1090.4+89.6-44.7</f>
        <v>1135.3</v>
      </c>
      <c r="V13" s="33"/>
      <c r="W13" s="17"/>
      <c r="X13" s="33"/>
      <c r="Y13" s="33"/>
      <c r="Z13" s="33"/>
      <c r="AA13" s="33"/>
      <c r="AB13" s="17"/>
      <c r="AC13" s="33"/>
      <c r="AD13" s="33"/>
      <c r="AE13" s="33"/>
      <c r="AF13" s="33"/>
      <c r="AG13" s="17"/>
      <c r="AH13" s="33"/>
      <c r="AI13" s="33"/>
      <c r="AJ13" s="33"/>
      <c r="AK13" s="33"/>
      <c r="AL13" s="17"/>
      <c r="AM13" s="33"/>
      <c r="AN13" s="33"/>
      <c r="AO13" s="33"/>
      <c r="AP13" s="33"/>
      <c r="AQ13" s="17"/>
      <c r="AR13" s="33"/>
      <c r="AS13" s="33"/>
      <c r="AT13" s="33"/>
      <c r="AU13" s="33"/>
      <c r="AV13" s="17"/>
    </row>
    <row r="14" spans="2:48" outlineLevel="1" x14ac:dyDescent="0.3">
      <c r="B14" s="432" t="s">
        <v>278</v>
      </c>
      <c r="C14" s="433"/>
      <c r="D14" s="337"/>
      <c r="E14" s="338"/>
      <c r="F14" s="339"/>
      <c r="G14" s="339"/>
      <c r="H14" s="340"/>
      <c r="I14" s="339"/>
      <c r="J14" s="339"/>
      <c r="K14" s="339"/>
      <c r="L14" s="339"/>
      <c r="M14" s="340"/>
      <c r="N14" s="339"/>
      <c r="O14" s="339"/>
      <c r="P14" s="339"/>
      <c r="Q14" s="339"/>
      <c r="R14" s="340"/>
      <c r="S14" s="339"/>
      <c r="T14" s="339"/>
      <c r="U14" s="339"/>
      <c r="V14" s="339"/>
      <c r="W14" s="340"/>
      <c r="X14" s="339"/>
      <c r="Y14" s="339"/>
      <c r="Z14" s="339"/>
      <c r="AA14" s="339"/>
      <c r="AB14" s="340"/>
      <c r="AC14" s="339"/>
      <c r="AD14" s="339"/>
      <c r="AE14" s="339"/>
      <c r="AF14" s="339"/>
      <c r="AG14" s="340"/>
      <c r="AH14" s="339"/>
      <c r="AI14" s="339"/>
      <c r="AJ14" s="339"/>
      <c r="AK14" s="339"/>
      <c r="AL14" s="340"/>
      <c r="AM14" s="339"/>
      <c r="AN14" s="339"/>
      <c r="AO14" s="339"/>
      <c r="AP14" s="339"/>
      <c r="AQ14" s="340"/>
      <c r="AR14" s="339"/>
      <c r="AS14" s="339"/>
      <c r="AT14" s="339"/>
      <c r="AU14" s="339"/>
      <c r="AV14" s="340"/>
    </row>
    <row r="15" spans="2:48" outlineLevel="1" x14ac:dyDescent="0.3">
      <c r="B15" s="430" t="s">
        <v>279</v>
      </c>
      <c r="C15" s="431"/>
      <c r="D15" s="343">
        <v>-28.8</v>
      </c>
      <c r="E15" s="343">
        <f>9.8-D15</f>
        <v>38.6</v>
      </c>
      <c r="F15" s="343">
        <f>-70.1-E15-D15</f>
        <v>-79.899999999999991</v>
      </c>
      <c r="G15" s="343">
        <f>-197.7-F15-E15-D15</f>
        <v>-127.60000000000001</v>
      </c>
      <c r="H15" s="344">
        <f t="shared" ref="H15:H21" si="4">SUM(D15:G15)</f>
        <v>-197.7</v>
      </c>
      <c r="I15" s="343">
        <v>-22.9</v>
      </c>
      <c r="J15" s="343">
        <f>-60.7-I15</f>
        <v>-37.800000000000004</v>
      </c>
      <c r="K15" s="343">
        <f>13.4-J15-I15</f>
        <v>74.099999999999994</v>
      </c>
      <c r="L15" s="343">
        <f>-2.7-K15-J15-I15</f>
        <v>-16.099999999999994</v>
      </c>
      <c r="M15" s="344">
        <f t="shared" ref="M15:M21" si="5">SUM(I15:L15)</f>
        <v>-2.7000000000000028</v>
      </c>
      <c r="N15" s="343">
        <v>19.600000000000001</v>
      </c>
      <c r="O15" s="343">
        <f>12.8-N15</f>
        <v>-6.8000000000000007</v>
      </c>
      <c r="P15" s="343">
        <f>-13.1-O15-N15</f>
        <v>-25.9</v>
      </c>
      <c r="Q15" s="343">
        <f>-43-P15-O15-N15</f>
        <v>-29.900000000000002</v>
      </c>
      <c r="R15" s="344">
        <f t="shared" ref="R15:R21" si="6">SUM(N15:Q15)</f>
        <v>-43</v>
      </c>
      <c r="S15" s="343">
        <v>-91.6</v>
      </c>
      <c r="T15" s="343">
        <f>-62.1-S15</f>
        <v>29.499999999999993</v>
      </c>
      <c r="U15" s="343">
        <f>-245.5-T15-S15</f>
        <v>-183.4</v>
      </c>
      <c r="V15" s="343"/>
      <c r="W15" s="344"/>
      <c r="X15" s="343"/>
      <c r="Y15" s="343"/>
      <c r="Z15" s="343"/>
      <c r="AA15" s="343"/>
      <c r="AB15" s="344"/>
      <c r="AC15" s="343"/>
      <c r="AD15" s="343"/>
      <c r="AE15" s="343"/>
      <c r="AF15" s="343"/>
      <c r="AG15" s="344"/>
      <c r="AH15" s="343"/>
      <c r="AI15" s="343"/>
      <c r="AJ15" s="343"/>
      <c r="AK15" s="343"/>
      <c r="AL15" s="344"/>
      <c r="AM15" s="343"/>
      <c r="AN15" s="343"/>
      <c r="AO15" s="343"/>
      <c r="AP15" s="343"/>
      <c r="AQ15" s="344"/>
      <c r="AR15" s="343"/>
      <c r="AS15" s="343"/>
      <c r="AT15" s="343"/>
      <c r="AU15" s="343"/>
      <c r="AV15" s="344"/>
    </row>
    <row r="16" spans="2:48" outlineLevel="1" x14ac:dyDescent="0.3">
      <c r="B16" s="341" t="s">
        <v>217</v>
      </c>
      <c r="C16" s="342"/>
      <c r="D16" s="343">
        <v>44.8</v>
      </c>
      <c r="E16" s="343">
        <f>-51-D16</f>
        <v>-95.8</v>
      </c>
      <c r="F16" s="343">
        <f>-140.5-E16-D16</f>
        <v>-89.5</v>
      </c>
      <c r="G16" s="343">
        <f>-173-F16-E16-D16</f>
        <v>-32.5</v>
      </c>
      <c r="H16" s="344">
        <f t="shared" si="4"/>
        <v>-173</v>
      </c>
      <c r="I16" s="343">
        <v>122.8</v>
      </c>
      <c r="J16" s="343">
        <f>36.9-I16</f>
        <v>-85.9</v>
      </c>
      <c r="K16" s="343">
        <f>-51.7-J16-I16</f>
        <v>-88.6</v>
      </c>
      <c r="L16" s="343">
        <f>-10.9-K16-J16-I16</f>
        <v>40.799999999999997</v>
      </c>
      <c r="M16" s="344">
        <f t="shared" si="5"/>
        <v>-10.900000000000006</v>
      </c>
      <c r="N16" s="343">
        <v>90.1</v>
      </c>
      <c r="O16" s="343">
        <f>51.3-N16</f>
        <v>-38.799999999999997</v>
      </c>
      <c r="P16" s="343">
        <f>8.4-O16-N16</f>
        <v>-42.9</v>
      </c>
      <c r="Q16" s="343">
        <f>-49.8-P16-O16-N16</f>
        <v>-58.199999999999996</v>
      </c>
      <c r="R16" s="344">
        <f t="shared" si="6"/>
        <v>-49.8</v>
      </c>
      <c r="S16" s="343">
        <v>-36</v>
      </c>
      <c r="T16" s="343">
        <f>-324.9-S16</f>
        <v>-288.89999999999998</v>
      </c>
      <c r="U16" s="343">
        <f>-557.3-T16-S16</f>
        <v>-232.39999999999998</v>
      </c>
      <c r="V16" s="343"/>
      <c r="W16" s="344"/>
      <c r="X16" s="343"/>
      <c r="Y16" s="343"/>
      <c r="Z16" s="343"/>
      <c r="AA16" s="343"/>
      <c r="AB16" s="344"/>
      <c r="AC16" s="343"/>
      <c r="AD16" s="343"/>
      <c r="AE16" s="343"/>
      <c r="AF16" s="343"/>
      <c r="AG16" s="344"/>
      <c r="AH16" s="343"/>
      <c r="AI16" s="343"/>
      <c r="AJ16" s="343"/>
      <c r="AK16" s="343"/>
      <c r="AL16" s="344"/>
      <c r="AM16" s="343"/>
      <c r="AN16" s="343"/>
      <c r="AO16" s="343"/>
      <c r="AP16" s="343"/>
      <c r="AQ16" s="344"/>
      <c r="AR16" s="343"/>
      <c r="AS16" s="343"/>
      <c r="AT16" s="343"/>
      <c r="AU16" s="343"/>
      <c r="AV16" s="344"/>
    </row>
    <row r="17" spans="2:48" outlineLevel="1" x14ac:dyDescent="0.3">
      <c r="B17" s="430" t="s">
        <v>280</v>
      </c>
      <c r="C17" s="431"/>
      <c r="D17" s="343">
        <v>847.3</v>
      </c>
      <c r="E17" s="343">
        <f>774.6-D17</f>
        <v>-72.699999999999932</v>
      </c>
      <c r="F17" s="343">
        <f>831.6-E17-D17</f>
        <v>57</v>
      </c>
      <c r="G17" s="343">
        <f>922-F17-E17-D17</f>
        <v>90.399999999999977</v>
      </c>
      <c r="H17" s="344">
        <f t="shared" si="4"/>
        <v>922</v>
      </c>
      <c r="I17" s="343">
        <v>-28.5</v>
      </c>
      <c r="J17" s="343">
        <f>-247.7-I17</f>
        <v>-219.2</v>
      </c>
      <c r="K17" s="343">
        <f>-492.1-J17-I17</f>
        <v>-244.40000000000003</v>
      </c>
      <c r="L17" s="343">
        <f>-317.5-K17-J17-I17</f>
        <v>174.60000000000002</v>
      </c>
      <c r="M17" s="344">
        <f t="shared" si="5"/>
        <v>-317.5</v>
      </c>
      <c r="N17" s="343">
        <v>5.2</v>
      </c>
      <c r="O17" s="343">
        <f>139.7-N17</f>
        <v>134.5</v>
      </c>
      <c r="P17" s="343">
        <f>216.8-O17-N17</f>
        <v>77.100000000000009</v>
      </c>
      <c r="Q17" s="343">
        <f>251.1-P17-O17-N17</f>
        <v>34.299999999999997</v>
      </c>
      <c r="R17" s="344">
        <f t="shared" si="6"/>
        <v>251.10000000000002</v>
      </c>
      <c r="S17" s="343">
        <f>64.6+330.4+50.7-4.9</f>
        <v>440.8</v>
      </c>
      <c r="T17" s="343">
        <f>-120.7+670.7+77.3-17.9-S17</f>
        <v>168.59999999999997</v>
      </c>
      <c r="U17" s="343">
        <f t="shared" ref="U17:U20" si="7">0-T17-S17</f>
        <v>-609.4</v>
      </c>
      <c r="V17" s="343"/>
      <c r="W17" s="344"/>
      <c r="X17" s="343"/>
      <c r="Y17" s="343"/>
      <c r="Z17" s="343"/>
      <c r="AA17" s="343"/>
      <c r="AB17" s="344"/>
      <c r="AC17" s="343"/>
      <c r="AD17" s="343"/>
      <c r="AE17" s="343"/>
      <c r="AF17" s="343"/>
      <c r="AG17" s="344"/>
      <c r="AH17" s="343"/>
      <c r="AI17" s="343"/>
      <c r="AJ17" s="343"/>
      <c r="AK17" s="343"/>
      <c r="AL17" s="344"/>
      <c r="AM17" s="343"/>
      <c r="AN17" s="343"/>
      <c r="AO17" s="343"/>
      <c r="AP17" s="343"/>
      <c r="AQ17" s="344"/>
      <c r="AR17" s="343"/>
      <c r="AS17" s="343"/>
      <c r="AT17" s="343"/>
      <c r="AU17" s="343"/>
      <c r="AV17" s="344"/>
    </row>
    <row r="18" spans="2:48" outlineLevel="1" x14ac:dyDescent="0.3">
      <c r="B18" s="430" t="s">
        <v>230</v>
      </c>
      <c r="C18" s="431"/>
      <c r="D18" s="343">
        <v>-21.3</v>
      </c>
      <c r="E18" s="343">
        <f>-83.4-D18</f>
        <v>-62.100000000000009</v>
      </c>
      <c r="F18" s="343">
        <f>-15.1-E18-D18</f>
        <v>68.300000000000011</v>
      </c>
      <c r="G18" s="343">
        <f>31.9-F18-E18-D18</f>
        <v>47</v>
      </c>
      <c r="H18" s="344">
        <f t="shared" si="4"/>
        <v>31.900000000000006</v>
      </c>
      <c r="I18" s="343">
        <v>-110.3</v>
      </c>
      <c r="J18" s="343">
        <f>-186.4-I18</f>
        <v>-76.100000000000009</v>
      </c>
      <c r="K18" s="343">
        <f>-320.3-J18-I18</f>
        <v>-133.89999999999998</v>
      </c>
      <c r="L18" s="343">
        <f>-210.8-K18-J18-I18</f>
        <v>109.49999999999997</v>
      </c>
      <c r="M18" s="344">
        <f t="shared" si="5"/>
        <v>-210.79999999999998</v>
      </c>
      <c r="N18" s="343">
        <v>24.8</v>
      </c>
      <c r="O18" s="343">
        <f>21.3-N18</f>
        <v>-3.5</v>
      </c>
      <c r="P18" s="343">
        <f>108.2-O18-N18</f>
        <v>86.9</v>
      </c>
      <c r="Q18" s="343">
        <f>189.9-P18-O18-N18</f>
        <v>81.7</v>
      </c>
      <c r="R18" s="344">
        <f t="shared" si="6"/>
        <v>189.9</v>
      </c>
      <c r="S18" s="343">
        <v>84</v>
      </c>
      <c r="T18" s="343">
        <f>133-S18</f>
        <v>49</v>
      </c>
      <c r="U18" s="343">
        <f>341.7-T18-S18</f>
        <v>208.7</v>
      </c>
      <c r="V18" s="343"/>
      <c r="W18" s="344"/>
      <c r="X18" s="343"/>
      <c r="Y18" s="343"/>
      <c r="Z18" s="343"/>
      <c r="AA18" s="343"/>
      <c r="AB18" s="344"/>
      <c r="AC18" s="343"/>
      <c r="AD18" s="343"/>
      <c r="AE18" s="343"/>
      <c r="AF18" s="343"/>
      <c r="AG18" s="344"/>
      <c r="AH18" s="343"/>
      <c r="AI18" s="343"/>
      <c r="AJ18" s="343"/>
      <c r="AK18" s="343"/>
      <c r="AL18" s="344"/>
      <c r="AM18" s="343"/>
      <c r="AN18" s="343"/>
      <c r="AO18" s="343"/>
      <c r="AP18" s="343"/>
      <c r="AQ18" s="344"/>
      <c r="AR18" s="343"/>
      <c r="AS18" s="343"/>
      <c r="AT18" s="343"/>
      <c r="AU18" s="343"/>
      <c r="AV18" s="344"/>
    </row>
    <row r="19" spans="2:48" outlineLevel="1" x14ac:dyDescent="0.3">
      <c r="B19" s="341" t="s">
        <v>235</v>
      </c>
      <c r="C19" s="342"/>
      <c r="D19" s="343">
        <v>362.7</v>
      </c>
      <c r="E19" s="343">
        <f>9.4-D19</f>
        <v>-353.3</v>
      </c>
      <c r="F19" s="343">
        <f>-32.4-E19-D19</f>
        <v>-41.799999999999955</v>
      </c>
      <c r="G19" s="343">
        <f>-30.5-F19-E19-D19</f>
        <v>1.8999999999999773</v>
      </c>
      <c r="H19" s="344">
        <f t="shared" si="4"/>
        <v>-30.5</v>
      </c>
      <c r="I19" s="343">
        <v>426.7</v>
      </c>
      <c r="J19" s="343">
        <f>112.1-I19</f>
        <v>-314.60000000000002</v>
      </c>
      <c r="K19" s="343">
        <f>92-J19-I19</f>
        <v>-20.099999999999966</v>
      </c>
      <c r="L19" s="343">
        <f>31-K19-J19-I19</f>
        <v>-61</v>
      </c>
      <c r="M19" s="344">
        <f t="shared" si="5"/>
        <v>31</v>
      </c>
      <c r="N19" s="343">
        <v>398.9</v>
      </c>
      <c r="O19" s="343">
        <f>89.8-N19</f>
        <v>-309.09999999999997</v>
      </c>
      <c r="P19" s="343">
        <f>52.4-O19-N19</f>
        <v>-37.400000000000034</v>
      </c>
      <c r="Q19" s="343">
        <f>-6.1-P19-O19-N19</f>
        <v>-58.5</v>
      </c>
      <c r="R19" s="344">
        <f t="shared" si="6"/>
        <v>-6.1000000000000227</v>
      </c>
      <c r="S19" s="343">
        <v>461.3</v>
      </c>
      <c r="T19" s="343">
        <f>110.2-S19</f>
        <v>-351.1</v>
      </c>
      <c r="U19" s="343">
        <f>32.7-T19-S19</f>
        <v>-77.5</v>
      </c>
      <c r="V19" s="343"/>
      <c r="W19" s="344"/>
      <c r="X19" s="343"/>
      <c r="Y19" s="343"/>
      <c r="Z19" s="343"/>
      <c r="AA19" s="343"/>
      <c r="AB19" s="344"/>
      <c r="AC19" s="343"/>
      <c r="AD19" s="343"/>
      <c r="AE19" s="343"/>
      <c r="AF19" s="343"/>
      <c r="AG19" s="344"/>
      <c r="AH19" s="343"/>
      <c r="AI19" s="343"/>
      <c r="AJ19" s="343"/>
      <c r="AK19" s="343"/>
      <c r="AL19" s="344"/>
      <c r="AM19" s="343"/>
      <c r="AN19" s="343"/>
      <c r="AO19" s="343"/>
      <c r="AP19" s="343"/>
      <c r="AQ19" s="344"/>
      <c r="AR19" s="343"/>
      <c r="AS19" s="343"/>
      <c r="AT19" s="343"/>
      <c r="AU19" s="343"/>
      <c r="AV19" s="344"/>
    </row>
    <row r="20" spans="2:48" outlineLevel="1" x14ac:dyDescent="0.3">
      <c r="B20" s="341" t="s">
        <v>281</v>
      </c>
      <c r="C20" s="342"/>
      <c r="D20" s="343">
        <v>0</v>
      </c>
      <c r="E20" s="343">
        <v>0</v>
      </c>
      <c r="F20" s="343">
        <f>1045.4-E20-D20</f>
        <v>1045.4000000000001</v>
      </c>
      <c r="G20" s="343">
        <f>1237-F20-E20-D20</f>
        <v>191.59999999999991</v>
      </c>
      <c r="H20" s="344">
        <f t="shared" si="4"/>
        <v>1237</v>
      </c>
      <c r="I20" s="343">
        <v>125.1</v>
      </c>
      <c r="J20" s="343">
        <f>-1227.4-I20</f>
        <v>-1352.5</v>
      </c>
      <c r="K20" s="343">
        <f>-1224.5-J20-I20</f>
        <v>2.9000000000000057</v>
      </c>
      <c r="L20" s="343">
        <f>-1214.6-K20-J20-I20</f>
        <v>9.9000000000000057</v>
      </c>
      <c r="M20" s="344">
        <f t="shared" si="5"/>
        <v>-1214.5999999999999</v>
      </c>
      <c r="N20" s="343">
        <v>56.9</v>
      </c>
      <c r="O20" s="343">
        <f>40-N20</f>
        <v>-16.899999999999999</v>
      </c>
      <c r="P20" s="343">
        <f>128.9-O20-N20</f>
        <v>88.9</v>
      </c>
      <c r="Q20" s="343">
        <f>286.1-P20-O20-N20</f>
        <v>157.20000000000002</v>
      </c>
      <c r="R20" s="344">
        <f t="shared" si="6"/>
        <v>286.10000000000002</v>
      </c>
      <c r="S20" s="343">
        <v>0</v>
      </c>
      <c r="T20" s="343">
        <f>0-S20</f>
        <v>0</v>
      </c>
      <c r="U20" s="343">
        <f t="shared" si="7"/>
        <v>0</v>
      </c>
      <c r="V20" s="343"/>
      <c r="W20" s="344"/>
      <c r="X20" s="343"/>
      <c r="Y20" s="343"/>
      <c r="Z20" s="343"/>
      <c r="AA20" s="343"/>
      <c r="AB20" s="344"/>
      <c r="AC20" s="343"/>
      <c r="AD20" s="343"/>
      <c r="AE20" s="343"/>
      <c r="AF20" s="343"/>
      <c r="AG20" s="344"/>
      <c r="AH20" s="343"/>
      <c r="AI20" s="343"/>
      <c r="AJ20" s="343"/>
      <c r="AK20" s="343"/>
      <c r="AL20" s="344"/>
      <c r="AM20" s="343"/>
      <c r="AN20" s="343"/>
      <c r="AO20" s="343"/>
      <c r="AP20" s="343"/>
      <c r="AQ20" s="344"/>
      <c r="AR20" s="343"/>
      <c r="AS20" s="343"/>
      <c r="AT20" s="343"/>
      <c r="AU20" s="343"/>
      <c r="AV20" s="344"/>
    </row>
    <row r="21" spans="2:48" ht="16.2" outlineLevel="1" x14ac:dyDescent="0.45">
      <c r="B21" s="430" t="s">
        <v>282</v>
      </c>
      <c r="C21" s="431"/>
      <c r="D21" s="345">
        <v>305.60000000000002</v>
      </c>
      <c r="E21" s="345">
        <f>429.3-D21</f>
        <v>123.69999999999999</v>
      </c>
      <c r="F21" s="345">
        <f>-67.4-E21-D21</f>
        <v>-496.70000000000005</v>
      </c>
      <c r="G21" s="345">
        <f>-141.1-F21-E21-D21</f>
        <v>-73.699999999999989</v>
      </c>
      <c r="H21" s="346">
        <f t="shared" si="4"/>
        <v>-141.10000000000002</v>
      </c>
      <c r="I21" s="345">
        <f>-31.8-301.6</f>
        <v>-333.40000000000003</v>
      </c>
      <c r="J21" s="345">
        <f>-608.6-140.5-I21</f>
        <v>-415.7</v>
      </c>
      <c r="K21" s="345">
        <f>-918.2+70.5-J21-I21</f>
        <v>-98.600000000000023</v>
      </c>
      <c r="L21" s="345">
        <f>-1231.4+280.5-K21-J21-I21</f>
        <v>-103.20000000000005</v>
      </c>
      <c r="M21" s="346">
        <f t="shared" si="5"/>
        <v>-950.90000000000009</v>
      </c>
      <c r="N21" s="345">
        <f>-314.8+12.3</f>
        <v>-302.5</v>
      </c>
      <c r="O21" s="345">
        <f>-676.3+59.5-N21</f>
        <v>-314.29999999999995</v>
      </c>
      <c r="P21" s="345">
        <f>-1029.8+154.6-O21-N21</f>
        <v>-258.39999999999998</v>
      </c>
      <c r="Q21" s="345">
        <f>-1488.1+358.7-P21-O21-N21</f>
        <v>-254.19999999999993</v>
      </c>
      <c r="R21" s="346">
        <f t="shared" si="6"/>
        <v>-1129.3999999999999</v>
      </c>
      <c r="S21" s="345">
        <f>-363.3+79.4</f>
        <v>-283.89999999999998</v>
      </c>
      <c r="T21" s="345">
        <f>-766.3-95-S21</f>
        <v>-577.4</v>
      </c>
      <c r="U21" s="345">
        <f>-1201.4+5.8-T21-S21</f>
        <v>-334.30000000000018</v>
      </c>
      <c r="V21" s="345"/>
      <c r="W21" s="346"/>
      <c r="X21" s="345"/>
      <c r="Y21" s="345"/>
      <c r="Z21" s="345"/>
      <c r="AA21" s="345"/>
      <c r="AB21" s="346"/>
      <c r="AC21" s="345"/>
      <c r="AD21" s="345"/>
      <c r="AE21" s="345"/>
      <c r="AF21" s="345"/>
      <c r="AG21" s="346"/>
      <c r="AH21" s="345"/>
      <c r="AI21" s="345"/>
      <c r="AJ21" s="345"/>
      <c r="AK21" s="345"/>
      <c r="AL21" s="346"/>
      <c r="AM21" s="345"/>
      <c r="AN21" s="345"/>
      <c r="AO21" s="345"/>
      <c r="AP21" s="345"/>
      <c r="AQ21" s="346"/>
      <c r="AR21" s="345"/>
      <c r="AS21" s="345"/>
      <c r="AT21" s="345"/>
      <c r="AU21" s="345"/>
      <c r="AV21" s="346"/>
    </row>
    <row r="22" spans="2:48" outlineLevel="1" x14ac:dyDescent="0.3">
      <c r="B22" s="434" t="s">
        <v>283</v>
      </c>
      <c r="C22" s="435"/>
      <c r="D22" s="347">
        <f t="shared" ref="D22:AV22" si="8">D6+SUM(D7:D21)</f>
        <v>2379.0000000000005</v>
      </c>
      <c r="E22" s="347">
        <f t="shared" si="8"/>
        <v>390.39999999999969</v>
      </c>
      <c r="F22" s="347">
        <f t="shared" si="8"/>
        <v>1169.400000000001</v>
      </c>
      <c r="G22" s="347">
        <f t="shared" si="8"/>
        <v>1108.1000000000008</v>
      </c>
      <c r="H22" s="348">
        <f t="shared" si="8"/>
        <v>5046.9000000000051</v>
      </c>
      <c r="I22" s="347">
        <f t="shared" si="8"/>
        <v>1836.0999999999985</v>
      </c>
      <c r="J22" s="347">
        <f t="shared" si="8"/>
        <v>-1361.3000000000009</v>
      </c>
      <c r="K22" s="347">
        <f t="shared" si="8"/>
        <v>-367.69999999999925</v>
      </c>
      <c r="L22" s="347">
        <f t="shared" si="8"/>
        <v>1490.7000000000014</v>
      </c>
      <c r="M22" s="348">
        <f t="shared" si="8"/>
        <v>1597.8000000000043</v>
      </c>
      <c r="N22" s="347">
        <f t="shared" si="8"/>
        <v>1835.7000000000003</v>
      </c>
      <c r="O22" s="347">
        <f t="shared" si="8"/>
        <v>883.80000000000018</v>
      </c>
      <c r="P22" s="347">
        <f t="shared" si="8"/>
        <v>1748.9999999999991</v>
      </c>
      <c r="Q22" s="347">
        <f t="shared" si="8"/>
        <v>1520.6999999999996</v>
      </c>
      <c r="R22" s="348">
        <f t="shared" si="8"/>
        <v>5989.199999999998</v>
      </c>
      <c r="S22" s="347">
        <f t="shared" si="8"/>
        <v>1870.8999999999999</v>
      </c>
      <c r="T22" s="347">
        <f t="shared" si="8"/>
        <v>161.9000000000002</v>
      </c>
      <c r="U22" s="347">
        <f t="shared" si="8"/>
        <v>1264.7999999999993</v>
      </c>
      <c r="V22" s="347"/>
      <c r="W22" s="348"/>
      <c r="X22" s="347"/>
      <c r="Y22" s="347"/>
      <c r="Z22" s="347"/>
      <c r="AA22" s="347"/>
      <c r="AB22" s="348"/>
      <c r="AC22" s="347"/>
      <c r="AD22" s="347"/>
      <c r="AE22" s="347"/>
      <c r="AF22" s="347"/>
      <c r="AG22" s="348"/>
      <c r="AH22" s="347"/>
      <c r="AI22" s="347"/>
      <c r="AJ22" s="347"/>
      <c r="AK22" s="347"/>
      <c r="AL22" s="348"/>
      <c r="AM22" s="347"/>
      <c r="AN22" s="347"/>
      <c r="AO22" s="347"/>
      <c r="AP22" s="347"/>
      <c r="AQ22" s="348"/>
      <c r="AR22" s="347"/>
      <c r="AS22" s="347"/>
      <c r="AT22" s="347"/>
      <c r="AU22" s="347"/>
      <c r="AV22" s="348"/>
    </row>
    <row r="23" spans="2:48" outlineLevel="1" x14ac:dyDescent="0.3">
      <c r="B23" s="410" t="s">
        <v>284</v>
      </c>
      <c r="C23" s="411"/>
      <c r="D23" s="349"/>
      <c r="E23" s="350"/>
      <c r="F23" s="350"/>
      <c r="G23" s="350"/>
      <c r="H23" s="351"/>
      <c r="I23" s="352"/>
      <c r="J23" s="352"/>
      <c r="K23" s="350"/>
      <c r="L23" s="350"/>
      <c r="M23" s="353"/>
      <c r="N23" s="350"/>
      <c r="O23" s="350"/>
      <c r="P23" s="350"/>
      <c r="Q23" s="350"/>
      <c r="R23" s="353"/>
      <c r="S23" s="350"/>
      <c r="T23" s="350"/>
      <c r="U23" s="350"/>
      <c r="V23" s="350"/>
      <c r="W23" s="353"/>
      <c r="X23" s="350"/>
      <c r="Y23" s="350"/>
      <c r="Z23" s="350"/>
      <c r="AA23" s="350"/>
      <c r="AB23" s="353"/>
      <c r="AC23" s="350"/>
      <c r="AD23" s="350"/>
      <c r="AE23" s="350"/>
      <c r="AF23" s="350"/>
      <c r="AG23" s="353"/>
      <c r="AH23" s="350"/>
      <c r="AI23" s="350"/>
      <c r="AJ23" s="350"/>
      <c r="AK23" s="350"/>
      <c r="AL23" s="353"/>
      <c r="AM23" s="350"/>
      <c r="AN23" s="350"/>
      <c r="AO23" s="350"/>
      <c r="AP23" s="350"/>
      <c r="AQ23" s="353"/>
      <c r="AR23" s="350"/>
      <c r="AS23" s="350"/>
      <c r="AT23" s="350"/>
      <c r="AU23" s="350"/>
      <c r="AV23" s="353"/>
    </row>
    <row r="24" spans="2:48" outlineLevel="1" x14ac:dyDescent="0.3">
      <c r="B24" s="210" t="s">
        <v>285</v>
      </c>
      <c r="C24" s="211"/>
      <c r="D24" s="16">
        <f>-108.7+32.1+14.2</f>
        <v>-62.399999999999991</v>
      </c>
      <c r="E24" s="16">
        <f>-150.2+218.3+55.1-D24</f>
        <v>185.60000000000002</v>
      </c>
      <c r="F24" s="16">
        <f>-176.3+281.7+57.5-E24-D24</f>
        <v>39.699999999999946</v>
      </c>
      <c r="G24" s="16">
        <f>-190.4+298.3+59.8-F24-E24-D24</f>
        <v>4.8000000000000256</v>
      </c>
      <c r="H24" s="17">
        <f>SUM(D24:G24)</f>
        <v>167.7</v>
      </c>
      <c r="I24" s="16">
        <f>-38+64.6+1.3</f>
        <v>27.899999999999995</v>
      </c>
      <c r="J24" s="16">
        <f>-65.1+93.7+4.3-I24</f>
        <v>5.0000000000000107</v>
      </c>
      <c r="K24" s="16">
        <f>-297.4+133.5+10-J24-I24</f>
        <v>-186.79999999999998</v>
      </c>
      <c r="L24" s="16">
        <f>-443.9+186.7+73.7-K24-J24-I24</f>
        <v>-29.600000000000023</v>
      </c>
      <c r="M24" s="17">
        <f>SUM(I24:L24)</f>
        <v>-183.5</v>
      </c>
      <c r="N24" s="16">
        <f>-135.5+91.2+113.7</f>
        <v>69.400000000000006</v>
      </c>
      <c r="O24" s="16">
        <f>-321.7+121.7+289-N24</f>
        <v>19.599999999999994</v>
      </c>
      <c r="P24" s="16">
        <f>-367.3+130.4+298.7-O24-N24</f>
        <v>-27.200000000000017</v>
      </c>
      <c r="Q24" s="16">
        <f>-432+143.2+345.5-P24-O24-N24</f>
        <v>-5.0999999999999943</v>
      </c>
      <c r="R24" s="17">
        <f>SUM(N24:Q24)</f>
        <v>56.699999999999989</v>
      </c>
      <c r="S24" s="16">
        <f>-61+72.6+45.6</f>
        <v>57.199999999999996</v>
      </c>
      <c r="T24" s="16">
        <f>-67.5+72.6+55.7-S24</f>
        <v>3.6000000000000014</v>
      </c>
      <c r="U24" s="16">
        <f>-117.3+72.6+59.5-T24-S24</f>
        <v>-46</v>
      </c>
      <c r="V24" s="16"/>
      <c r="W24" s="17"/>
      <c r="X24" s="16"/>
      <c r="Y24" s="16"/>
      <c r="Z24" s="16"/>
      <c r="AA24" s="16"/>
      <c r="AB24" s="17"/>
      <c r="AC24" s="16"/>
      <c r="AD24" s="16"/>
      <c r="AE24" s="16"/>
      <c r="AF24" s="16"/>
      <c r="AG24" s="17"/>
      <c r="AH24" s="16"/>
      <c r="AI24" s="16"/>
      <c r="AJ24" s="16"/>
      <c r="AK24" s="16"/>
      <c r="AL24" s="17"/>
      <c r="AM24" s="16"/>
      <c r="AN24" s="16"/>
      <c r="AO24" s="16"/>
      <c r="AP24" s="16"/>
      <c r="AQ24" s="17"/>
      <c r="AR24" s="16"/>
      <c r="AS24" s="16"/>
      <c r="AT24" s="16"/>
      <c r="AU24" s="16"/>
      <c r="AV24" s="17"/>
    </row>
    <row r="25" spans="2:48" outlineLevel="1" x14ac:dyDescent="0.3">
      <c r="B25" s="392" t="s">
        <v>286</v>
      </c>
      <c r="C25" s="393"/>
      <c r="D25" s="16">
        <v>-431.4</v>
      </c>
      <c r="E25" s="16">
        <f>-845.6-D25</f>
        <v>-414.20000000000005</v>
      </c>
      <c r="F25" s="16">
        <f>-1280.7-E25-D25</f>
        <v>-435.1</v>
      </c>
      <c r="G25" s="16">
        <f>-1806.6-F25-E25-D25</f>
        <v>-525.9</v>
      </c>
      <c r="H25" s="170">
        <f>SUM(D25:G25)</f>
        <v>-1806.6</v>
      </c>
      <c r="I25" s="16">
        <v>-394.3</v>
      </c>
      <c r="J25" s="16">
        <f>-758.3-I25</f>
        <v>-363.99999999999994</v>
      </c>
      <c r="K25" s="16">
        <f>-1138.4-J25-I25</f>
        <v>-380.10000000000008</v>
      </c>
      <c r="L25" s="16">
        <f>-1483.6-K25-J25-I25</f>
        <v>-345.19999999999976</v>
      </c>
      <c r="M25" s="170">
        <f>SUM(I25:L25)</f>
        <v>-1483.6</v>
      </c>
      <c r="N25" s="16">
        <v>-324.2</v>
      </c>
      <c r="O25" s="16">
        <f>-647.9-N25</f>
        <v>-323.7</v>
      </c>
      <c r="P25" s="16">
        <f>-985.7-O25-N25</f>
        <v>-337.8</v>
      </c>
      <c r="Q25" s="16">
        <f>-1470-P25-O25-N25</f>
        <v>-484.3</v>
      </c>
      <c r="R25" s="170">
        <f>SUM(N25:Q25)</f>
        <v>-1470</v>
      </c>
      <c r="S25" s="16">
        <v>-416.8</v>
      </c>
      <c r="T25" s="16">
        <f>-871.9-S25</f>
        <v>-455.09999999999997</v>
      </c>
      <c r="U25" s="16">
        <f>-1295.4-T25-S25</f>
        <v>-423.50000000000017</v>
      </c>
      <c r="V25" s="16"/>
      <c r="W25" s="170"/>
      <c r="X25" s="101"/>
      <c r="Y25" s="101"/>
      <c r="Z25" s="101"/>
      <c r="AA25" s="101"/>
      <c r="AB25" s="170"/>
      <c r="AC25" s="101"/>
      <c r="AD25" s="101"/>
      <c r="AE25" s="101"/>
      <c r="AF25" s="101"/>
      <c r="AG25" s="170"/>
      <c r="AH25" s="16"/>
      <c r="AI25" s="16"/>
      <c r="AJ25" s="16"/>
      <c r="AK25" s="16"/>
      <c r="AL25" s="17"/>
      <c r="AM25" s="16"/>
      <c r="AN25" s="16"/>
      <c r="AO25" s="16"/>
      <c r="AP25" s="16"/>
      <c r="AQ25" s="17"/>
      <c r="AR25" s="16"/>
      <c r="AS25" s="16"/>
      <c r="AT25" s="16"/>
      <c r="AU25" s="16"/>
      <c r="AV25" s="17"/>
    </row>
    <row r="26" spans="2:48" ht="16.2" outlineLevel="1" x14ac:dyDescent="0.45">
      <c r="B26" s="392" t="s">
        <v>287</v>
      </c>
      <c r="C26" s="393"/>
      <c r="D26" s="272">
        <v>-16.600000000000001</v>
      </c>
      <c r="E26" s="272">
        <f>48.5-37.1-D26</f>
        <v>28</v>
      </c>
      <c r="F26" s="272">
        <f>684.2-72.9-E26-D26</f>
        <v>599.90000000000009</v>
      </c>
      <c r="G26" s="272">
        <f>684.3-56.2-F26-E26-D26</f>
        <v>16.79999999999982</v>
      </c>
      <c r="H26" s="273">
        <f>SUM(D26:G26)</f>
        <v>628.09999999999991</v>
      </c>
      <c r="I26" s="272">
        <v>-19.899999999999999</v>
      </c>
      <c r="J26" s="272">
        <f>-22.5-I26</f>
        <v>-2.6000000000000014</v>
      </c>
      <c r="K26" s="272">
        <f>-39.4-J26-I26</f>
        <v>-16.899999999999999</v>
      </c>
      <c r="L26" s="272">
        <f>-44.4-K26-J26-I26</f>
        <v>-5</v>
      </c>
      <c r="M26" s="273">
        <f>SUM(I26:L26)</f>
        <v>-44.4</v>
      </c>
      <c r="N26" s="272">
        <v>-17.7</v>
      </c>
      <c r="O26" s="272">
        <f>-20.1-N26</f>
        <v>-2.4000000000000021</v>
      </c>
      <c r="P26" s="272">
        <f>-62.3-O26-N26</f>
        <v>-42.199999999999989</v>
      </c>
      <c r="Q26" s="272">
        <f>1175-81.2-P26-O26-N26</f>
        <v>1156.1000000000001</v>
      </c>
      <c r="R26" s="273">
        <f>SUM(N26:Q26)</f>
        <v>1093.8000000000002</v>
      </c>
      <c r="S26" s="272">
        <v>-41.4</v>
      </c>
      <c r="T26" s="272">
        <f>-69.8-S26</f>
        <v>-28.4</v>
      </c>
      <c r="U26" s="272">
        <f>-95.7-T26-S26</f>
        <v>-25.900000000000013</v>
      </c>
      <c r="V26" s="272"/>
      <c r="W26" s="273"/>
      <c r="X26" s="272"/>
      <c r="Y26" s="272"/>
      <c r="Z26" s="272"/>
      <c r="AA26" s="272"/>
      <c r="AB26" s="273"/>
      <c r="AC26" s="272"/>
      <c r="AD26" s="272"/>
      <c r="AE26" s="272"/>
      <c r="AF26" s="272"/>
      <c r="AG26" s="273"/>
      <c r="AH26" s="272"/>
      <c r="AI26" s="272"/>
      <c r="AJ26" s="272"/>
      <c r="AK26" s="272"/>
      <c r="AL26" s="273"/>
      <c r="AM26" s="272"/>
      <c r="AN26" s="272"/>
      <c r="AO26" s="272"/>
      <c r="AP26" s="272"/>
      <c r="AQ26" s="273"/>
      <c r="AR26" s="272"/>
      <c r="AS26" s="272"/>
      <c r="AT26" s="272"/>
      <c r="AU26" s="272"/>
      <c r="AV26" s="273"/>
    </row>
    <row r="27" spans="2:48" outlineLevel="1" x14ac:dyDescent="0.3">
      <c r="B27" s="394" t="s">
        <v>288</v>
      </c>
      <c r="C27" s="395"/>
      <c r="D27" s="21">
        <f t="shared" ref="D27:AV27" si="9">SUM(D24:D26)</f>
        <v>-510.4</v>
      </c>
      <c r="E27" s="21">
        <f t="shared" si="9"/>
        <v>-200.60000000000002</v>
      </c>
      <c r="F27" s="21">
        <f t="shared" si="9"/>
        <v>204.5</v>
      </c>
      <c r="G27" s="21">
        <f t="shared" si="9"/>
        <v>-504.30000000000007</v>
      </c>
      <c r="H27" s="22">
        <f t="shared" si="9"/>
        <v>-1010.8</v>
      </c>
      <c r="I27" s="21">
        <f t="shared" si="9"/>
        <v>-386.3</v>
      </c>
      <c r="J27" s="21">
        <f t="shared" si="9"/>
        <v>-361.59999999999997</v>
      </c>
      <c r="K27" s="21">
        <f t="shared" si="9"/>
        <v>-583.80000000000007</v>
      </c>
      <c r="L27" s="21">
        <f t="shared" si="9"/>
        <v>-379.79999999999978</v>
      </c>
      <c r="M27" s="22">
        <f t="shared" si="9"/>
        <v>-1711.5</v>
      </c>
      <c r="N27" s="21">
        <f t="shared" si="9"/>
        <v>-272.5</v>
      </c>
      <c r="O27" s="21">
        <f t="shared" si="9"/>
        <v>-306.5</v>
      </c>
      <c r="P27" s="21">
        <f t="shared" si="9"/>
        <v>-407.2</v>
      </c>
      <c r="Q27" s="21">
        <f t="shared" si="9"/>
        <v>666.70000000000016</v>
      </c>
      <c r="R27" s="22">
        <f t="shared" si="9"/>
        <v>-319.49999999999977</v>
      </c>
      <c r="S27" s="21">
        <f t="shared" si="9"/>
        <v>-401</v>
      </c>
      <c r="T27" s="21">
        <f t="shared" si="9"/>
        <v>-479.89999999999992</v>
      </c>
      <c r="U27" s="21">
        <f t="shared" si="9"/>
        <v>-495.4000000000002</v>
      </c>
      <c r="V27" s="21"/>
      <c r="W27" s="22"/>
      <c r="X27" s="21"/>
      <c r="Y27" s="21"/>
      <c r="Z27" s="21"/>
      <c r="AA27" s="21"/>
      <c r="AB27" s="22"/>
      <c r="AC27" s="21"/>
      <c r="AD27" s="21"/>
      <c r="AE27" s="21"/>
      <c r="AF27" s="21"/>
      <c r="AG27" s="22"/>
      <c r="AH27" s="21"/>
      <c r="AI27" s="21"/>
      <c r="AJ27" s="21"/>
      <c r="AK27" s="21"/>
      <c r="AL27" s="22"/>
      <c r="AM27" s="21"/>
      <c r="AN27" s="21"/>
      <c r="AO27" s="21"/>
      <c r="AP27" s="21"/>
      <c r="AQ27" s="22"/>
      <c r="AR27" s="21"/>
      <c r="AS27" s="21"/>
      <c r="AT27" s="21"/>
      <c r="AU27" s="21"/>
      <c r="AV27" s="22"/>
    </row>
    <row r="28" spans="2:48" outlineLevel="1" x14ac:dyDescent="0.3">
      <c r="B28" s="432" t="s">
        <v>289</v>
      </c>
      <c r="C28" s="433"/>
      <c r="D28" s="337"/>
      <c r="E28" s="339"/>
      <c r="F28" s="339"/>
      <c r="G28" s="339"/>
      <c r="H28" s="340"/>
      <c r="I28" s="339"/>
      <c r="J28" s="339"/>
      <c r="K28" s="339"/>
      <c r="L28" s="339"/>
      <c r="M28" s="340"/>
      <c r="N28" s="339"/>
      <c r="O28" s="339"/>
      <c r="P28" s="339"/>
      <c r="Q28" s="339"/>
      <c r="R28" s="340"/>
      <c r="S28" s="339"/>
      <c r="T28" s="339"/>
      <c r="U28" s="339"/>
      <c r="V28" s="339"/>
      <c r="W28" s="340"/>
      <c r="X28" s="339"/>
      <c r="Y28" s="339"/>
      <c r="Z28" s="339"/>
      <c r="AA28" s="339"/>
      <c r="AB28" s="340"/>
      <c r="AC28" s="339"/>
      <c r="AD28" s="339"/>
      <c r="AE28" s="339"/>
      <c r="AF28" s="339"/>
      <c r="AG28" s="340"/>
      <c r="AH28" s="339"/>
      <c r="AI28" s="339"/>
      <c r="AJ28" s="339"/>
      <c r="AK28" s="339"/>
      <c r="AL28" s="340"/>
      <c r="AM28" s="339"/>
      <c r="AN28" s="339"/>
      <c r="AO28" s="339"/>
      <c r="AP28" s="339"/>
      <c r="AQ28" s="340"/>
      <c r="AR28" s="339"/>
      <c r="AS28" s="339"/>
      <c r="AT28" s="339"/>
      <c r="AU28" s="339"/>
      <c r="AV28" s="340"/>
    </row>
    <row r="29" spans="2:48" outlineLevel="1" x14ac:dyDescent="0.3">
      <c r="B29" s="430" t="s">
        <v>265</v>
      </c>
      <c r="C29" s="431"/>
      <c r="D29" s="343">
        <v>0</v>
      </c>
      <c r="E29" s="343">
        <f>-D29</f>
        <v>0</v>
      </c>
      <c r="F29" s="343">
        <f>1996-350-E29-D29</f>
        <v>1646</v>
      </c>
      <c r="G29" s="343">
        <f>1996-F29-E29-D29</f>
        <v>350</v>
      </c>
      <c r="H29" s="344">
        <f t="shared" ref="H29:H36" si="10">SUM(D29:G29)</f>
        <v>1996</v>
      </c>
      <c r="I29" s="343">
        <v>0</v>
      </c>
      <c r="J29" s="343">
        <f>1739.7-I29</f>
        <v>1739.7</v>
      </c>
      <c r="K29" s="343">
        <f>1157.2+4727.6-J29-I29</f>
        <v>4145.1000000000004</v>
      </c>
      <c r="L29" s="343">
        <f>1406.6-K29-J29-I29</f>
        <v>-4478.2000000000007</v>
      </c>
      <c r="M29" s="344">
        <f t="shared" ref="M29:M36" si="11">SUM(I29:L29)</f>
        <v>1406.5999999999995</v>
      </c>
      <c r="N29" s="343">
        <v>192.9</v>
      </c>
      <c r="O29" s="343">
        <f>203.3-N29</f>
        <v>10.400000000000006</v>
      </c>
      <c r="P29" s="343">
        <f>215.6-O29-N29</f>
        <v>12.299999999999983</v>
      </c>
      <c r="Q29" s="343">
        <f>-296.5-P29-O29-N29</f>
        <v>-512.09999999999991</v>
      </c>
      <c r="R29" s="344">
        <f t="shared" ref="R29:R36" si="12">SUM(N29:Q29)</f>
        <v>-296.49999999999989</v>
      </c>
      <c r="S29" s="343">
        <v>200</v>
      </c>
      <c r="T29" s="343">
        <f>17.4+1498.1-S29</f>
        <v>1315.5</v>
      </c>
      <c r="U29" s="343">
        <f>200+38.9+1498.1-T29-S29</f>
        <v>221.5</v>
      </c>
      <c r="V29" s="343"/>
      <c r="W29" s="344"/>
      <c r="X29" s="343"/>
      <c r="Y29" s="343"/>
      <c r="Z29" s="343"/>
      <c r="AA29" s="343"/>
      <c r="AB29" s="344"/>
      <c r="AC29" s="343"/>
      <c r="AD29" s="343"/>
      <c r="AE29" s="343"/>
      <c r="AF29" s="343"/>
      <c r="AG29" s="344"/>
      <c r="AH29" s="343"/>
      <c r="AI29" s="343"/>
      <c r="AJ29" s="343"/>
      <c r="AK29" s="343"/>
      <c r="AL29" s="344"/>
      <c r="AM29" s="343"/>
      <c r="AN29" s="343"/>
      <c r="AO29" s="343"/>
      <c r="AP29" s="343"/>
      <c r="AQ29" s="344"/>
      <c r="AR29" s="343"/>
      <c r="AS29" s="343"/>
      <c r="AT29" s="343"/>
      <c r="AU29" s="343"/>
      <c r="AV29" s="344"/>
    </row>
    <row r="30" spans="2:48" outlineLevel="1" x14ac:dyDescent="0.3">
      <c r="B30" s="341" t="s">
        <v>290</v>
      </c>
      <c r="C30" s="342"/>
      <c r="D30" s="343">
        <v>-350</v>
      </c>
      <c r="E30" s="343">
        <v>0</v>
      </c>
      <c r="F30" s="343">
        <f>-75-E30-D30</f>
        <v>275</v>
      </c>
      <c r="G30" s="343">
        <f>-350-F30-E30-D30</f>
        <v>-275</v>
      </c>
      <c r="H30" s="344">
        <f t="shared" si="10"/>
        <v>-350</v>
      </c>
      <c r="I30" s="343"/>
      <c r="J30" s="343">
        <f>0-I30</f>
        <v>0</v>
      </c>
      <c r="K30" s="343">
        <v>-220.7</v>
      </c>
      <c r="L30" s="343">
        <f>-967.7-K30-J30-I30</f>
        <v>-747</v>
      </c>
      <c r="M30" s="344">
        <f t="shared" si="11"/>
        <v>-967.7</v>
      </c>
      <c r="N30" s="343">
        <f>-144.7-500</f>
        <v>-644.70000000000005</v>
      </c>
      <c r="O30" s="343">
        <f>-296.5-320.5-1250-N30</f>
        <v>-1222.3</v>
      </c>
      <c r="P30" s="343">
        <f>-296.5-346.2-1250-O30-N30</f>
        <v>-25.700000000000045</v>
      </c>
      <c r="Q30" s="343">
        <f>215.1-349.8-1250-P30-O30-N30</f>
        <v>508</v>
      </c>
      <c r="R30" s="344">
        <f t="shared" si="12"/>
        <v>-1384.7</v>
      </c>
      <c r="S30" s="343"/>
      <c r="T30" s="343">
        <v>-12.6</v>
      </c>
      <c r="U30" s="343">
        <f>-38.9-1000-T30-S30</f>
        <v>-1026.3000000000002</v>
      </c>
      <c r="V30" s="343"/>
      <c r="W30" s="344"/>
      <c r="X30" s="343"/>
      <c r="Y30" s="343"/>
      <c r="Z30" s="343"/>
      <c r="AA30" s="343"/>
      <c r="AB30" s="344"/>
      <c r="AC30" s="343"/>
      <c r="AD30" s="343"/>
      <c r="AE30" s="343"/>
      <c r="AF30" s="343"/>
      <c r="AG30" s="344"/>
      <c r="AH30" s="343"/>
      <c r="AI30" s="343"/>
      <c r="AJ30" s="343"/>
      <c r="AK30" s="343"/>
      <c r="AL30" s="344"/>
      <c r="AM30" s="343"/>
      <c r="AN30" s="343"/>
      <c r="AO30" s="343"/>
      <c r="AP30" s="343"/>
      <c r="AQ30" s="344"/>
      <c r="AR30" s="343"/>
      <c r="AS30" s="343"/>
      <c r="AT30" s="343"/>
      <c r="AU30" s="343"/>
      <c r="AV30" s="344"/>
    </row>
    <row r="31" spans="2:48" outlineLevel="1" x14ac:dyDescent="0.3">
      <c r="B31" s="341" t="s">
        <v>291</v>
      </c>
      <c r="C31" s="342"/>
      <c r="D31" s="343"/>
      <c r="E31" s="343">
        <v>75</v>
      </c>
      <c r="F31" s="343">
        <v>0</v>
      </c>
      <c r="G31" s="343">
        <f>0-F31-E31-D31</f>
        <v>-75</v>
      </c>
      <c r="H31" s="344">
        <f t="shared" si="10"/>
        <v>0</v>
      </c>
      <c r="I31" s="343">
        <f>398.9+99</f>
        <v>497.9</v>
      </c>
      <c r="J31" s="343">
        <f>613+494.1-I31</f>
        <v>609.19999999999993</v>
      </c>
      <c r="K31" s="343">
        <f>0-J31-I31</f>
        <v>-1107.0999999999999</v>
      </c>
      <c r="L31" s="343">
        <f>4727.6-K31-J31-I31</f>
        <v>4727.6000000000013</v>
      </c>
      <c r="M31" s="344">
        <f t="shared" si="11"/>
        <v>4727.6000000000013</v>
      </c>
      <c r="N31" s="343">
        <v>0</v>
      </c>
      <c r="O31" s="343">
        <f>0-N31</f>
        <v>0</v>
      </c>
      <c r="P31" s="343">
        <f>0-O31-N31</f>
        <v>0</v>
      </c>
      <c r="Q31" s="343">
        <f>0-P31-O31-N31</f>
        <v>0</v>
      </c>
      <c r="R31" s="344">
        <f t="shared" si="12"/>
        <v>0</v>
      </c>
      <c r="S31" s="343">
        <v>0</v>
      </c>
      <c r="T31" s="343">
        <f>0-S31</f>
        <v>0</v>
      </c>
      <c r="U31" s="343">
        <f t="shared" ref="U31" si="13">0-T31-S31</f>
        <v>0</v>
      </c>
      <c r="V31" s="343"/>
      <c r="W31" s="344"/>
      <c r="X31" s="343"/>
      <c r="Y31" s="343"/>
      <c r="Z31" s="343"/>
      <c r="AA31" s="343"/>
      <c r="AB31" s="344"/>
      <c r="AC31" s="343"/>
      <c r="AD31" s="343"/>
      <c r="AE31" s="343"/>
      <c r="AF31" s="343"/>
      <c r="AG31" s="344"/>
      <c r="AH31" s="343"/>
      <c r="AI31" s="343"/>
      <c r="AJ31" s="343"/>
      <c r="AK31" s="343"/>
      <c r="AL31" s="344"/>
      <c r="AM31" s="343"/>
      <c r="AN31" s="343"/>
      <c r="AO31" s="343"/>
      <c r="AP31" s="343"/>
      <c r="AQ31" s="344"/>
      <c r="AR31" s="343"/>
      <c r="AS31" s="343"/>
      <c r="AT31" s="343"/>
      <c r="AU31" s="343"/>
      <c r="AV31" s="344"/>
    </row>
    <row r="32" spans="2:48" outlineLevel="1" x14ac:dyDescent="0.3">
      <c r="B32" s="341" t="s">
        <v>292</v>
      </c>
      <c r="C32" s="342"/>
      <c r="D32" s="343">
        <v>108.4</v>
      </c>
      <c r="E32" s="343">
        <f>275.7-D32</f>
        <v>167.29999999999998</v>
      </c>
      <c r="F32" s="343">
        <f>358.5-E32-D32</f>
        <v>82.800000000000011</v>
      </c>
      <c r="G32" s="343">
        <f>409.8-F32-E32-D32</f>
        <v>51.300000000000011</v>
      </c>
      <c r="H32" s="344">
        <f t="shared" si="10"/>
        <v>409.8</v>
      </c>
      <c r="I32" s="343">
        <v>33.1</v>
      </c>
      <c r="J32" s="343">
        <f>65.4-I32</f>
        <v>32.300000000000004</v>
      </c>
      <c r="K32" s="343">
        <f>98.9-J32-I32</f>
        <v>33.499999999999993</v>
      </c>
      <c r="L32" s="343">
        <f>298.8-K32-J32-I32</f>
        <v>199.9</v>
      </c>
      <c r="M32" s="344">
        <f t="shared" si="11"/>
        <v>298.8</v>
      </c>
      <c r="N32" s="343">
        <v>102.8</v>
      </c>
      <c r="O32" s="343">
        <f>134.4-N32</f>
        <v>31.600000000000009</v>
      </c>
      <c r="P32" s="343">
        <f>191.6-O32-N32</f>
        <v>57.2</v>
      </c>
      <c r="Q32" s="343">
        <f>246.2-P32-O32-N32</f>
        <v>54.59999999999998</v>
      </c>
      <c r="R32" s="344">
        <f t="shared" si="12"/>
        <v>246.2</v>
      </c>
      <c r="S32" s="343">
        <v>41.3</v>
      </c>
      <c r="T32" s="343">
        <f>56.3-S32</f>
        <v>15</v>
      </c>
      <c r="U32" s="343">
        <f>75.5-T32-S32</f>
        <v>19.200000000000003</v>
      </c>
      <c r="V32" s="343"/>
      <c r="W32" s="344"/>
      <c r="X32" s="343"/>
      <c r="Y32" s="343"/>
      <c r="Z32" s="343"/>
      <c r="AA32" s="343"/>
      <c r="AB32" s="344"/>
      <c r="AC32" s="343"/>
      <c r="AD32" s="343"/>
      <c r="AE32" s="343"/>
      <c r="AF32" s="343"/>
      <c r="AG32" s="344"/>
      <c r="AH32" s="343"/>
      <c r="AI32" s="343"/>
      <c r="AJ32" s="343"/>
      <c r="AK32" s="343"/>
      <c r="AL32" s="344"/>
      <c r="AM32" s="343"/>
      <c r="AN32" s="343"/>
      <c r="AO32" s="343"/>
      <c r="AP32" s="343"/>
      <c r="AQ32" s="344"/>
      <c r="AR32" s="343"/>
      <c r="AS32" s="343"/>
      <c r="AT32" s="343"/>
      <c r="AU32" s="343"/>
      <c r="AV32" s="344"/>
    </row>
    <row r="33" spans="2:48" outlineLevel="1" x14ac:dyDescent="0.3">
      <c r="B33" s="341" t="s">
        <v>293</v>
      </c>
      <c r="C33" s="342"/>
      <c r="D33" s="343">
        <v>-446.7</v>
      </c>
      <c r="E33" s="343">
        <f>-894.5-D33</f>
        <v>-447.8</v>
      </c>
      <c r="F33" s="343">
        <f>-1330.7-E33-D33</f>
        <v>-436.2000000000001</v>
      </c>
      <c r="G33" s="343">
        <f>-1761.3-F33-E33-D33</f>
        <v>-430.59999999999997</v>
      </c>
      <c r="H33" s="344">
        <f t="shared" si="10"/>
        <v>-1761.3</v>
      </c>
      <c r="I33" s="343">
        <v>-484.2</v>
      </c>
      <c r="J33" s="343">
        <f>-965.2-I33</f>
        <v>-481.00000000000006</v>
      </c>
      <c r="K33" s="343">
        <f>-1444.2-J33-I33</f>
        <v>-479.00000000000006</v>
      </c>
      <c r="L33" s="343">
        <f>-1923.5-K33-J33-I33</f>
        <v>-479.3</v>
      </c>
      <c r="M33" s="344">
        <f t="shared" si="11"/>
        <v>-1923.5</v>
      </c>
      <c r="N33" s="343">
        <v>-528.20000000000005</v>
      </c>
      <c r="O33" s="343">
        <f>-1058-N33</f>
        <v>-529.79999999999995</v>
      </c>
      <c r="P33" s="343">
        <f>-1588.2-O33-N33</f>
        <v>-530.20000000000005</v>
      </c>
      <c r="Q33" s="343">
        <f>-2119-P33-O33-N33</f>
        <v>-530.79999999999995</v>
      </c>
      <c r="R33" s="344">
        <f t="shared" si="12"/>
        <v>-2119</v>
      </c>
      <c r="S33" s="343">
        <v>-576</v>
      </c>
      <c r="T33" s="343">
        <f>-1139.2-S33</f>
        <v>-563.20000000000005</v>
      </c>
      <c r="U33" s="343">
        <f>-1701.1-T33-S33</f>
        <v>-561.89999999999986</v>
      </c>
      <c r="V33" s="343"/>
      <c r="W33" s="344"/>
      <c r="X33" s="343"/>
      <c r="Y33" s="343"/>
      <c r="Z33" s="343"/>
      <c r="AA33" s="343"/>
      <c r="AB33" s="344"/>
      <c r="AC33" s="343"/>
      <c r="AD33" s="343"/>
      <c r="AE33" s="343"/>
      <c r="AF33" s="343"/>
      <c r="AG33" s="344"/>
      <c r="AH33" s="343"/>
      <c r="AI33" s="343"/>
      <c r="AJ33" s="343"/>
      <c r="AK33" s="343"/>
      <c r="AL33" s="344"/>
      <c r="AM33" s="343"/>
      <c r="AN33" s="343"/>
      <c r="AO33" s="343"/>
      <c r="AP33" s="343"/>
      <c r="AQ33" s="344"/>
      <c r="AR33" s="343"/>
      <c r="AS33" s="343"/>
      <c r="AT33" s="343"/>
      <c r="AU33" s="343"/>
      <c r="AV33" s="344"/>
    </row>
    <row r="34" spans="2:48" outlineLevel="1" x14ac:dyDescent="0.3">
      <c r="B34" s="341" t="s">
        <v>294</v>
      </c>
      <c r="C34" s="354"/>
      <c r="D34" s="343">
        <v>-5114.7</v>
      </c>
      <c r="E34" s="343">
        <f>-7827.9-D34</f>
        <v>-2713.2</v>
      </c>
      <c r="F34" s="343">
        <f>-7972.9-E34-D34</f>
        <v>-145</v>
      </c>
      <c r="G34" s="343">
        <f>-10222.3-F34-E34-D34</f>
        <v>-2249.3999999999996</v>
      </c>
      <c r="H34" s="344">
        <f t="shared" si="10"/>
        <v>-10222.299999999999</v>
      </c>
      <c r="I34" s="343">
        <v>-1091.4000000000001</v>
      </c>
      <c r="J34" s="343">
        <f>-1698.9-I34</f>
        <v>-607.5</v>
      </c>
      <c r="K34" s="343">
        <f>-1698.9-J34-I34</f>
        <v>0</v>
      </c>
      <c r="L34" s="343">
        <f>-1698.9-K34-J34-I34</f>
        <v>0</v>
      </c>
      <c r="M34" s="344">
        <f t="shared" si="11"/>
        <v>-1698.9</v>
      </c>
      <c r="N34" s="343">
        <v>0</v>
      </c>
      <c r="O34" s="343">
        <f>0-N34</f>
        <v>0</v>
      </c>
      <c r="P34" s="343">
        <f>0-O34-N34</f>
        <v>0</v>
      </c>
      <c r="Q34" s="343">
        <f>0-P34-O34-N34</f>
        <v>0</v>
      </c>
      <c r="R34" s="344">
        <f t="shared" si="12"/>
        <v>0</v>
      </c>
      <c r="S34" s="343">
        <v>-3520.9</v>
      </c>
      <c r="T34" s="343">
        <f>-3997.5-S34</f>
        <v>-476.59999999999991</v>
      </c>
      <c r="U34" s="343">
        <f>-4013-T34-S34</f>
        <v>-15.5</v>
      </c>
      <c r="V34" s="343"/>
      <c r="W34" s="344"/>
      <c r="X34" s="343"/>
      <c r="Y34" s="343"/>
      <c r="Z34" s="343"/>
      <c r="AA34" s="343"/>
      <c r="AB34" s="344"/>
      <c r="AC34" s="343"/>
      <c r="AD34" s="343"/>
      <c r="AE34" s="343"/>
      <c r="AF34" s="343"/>
      <c r="AG34" s="344"/>
      <c r="AH34" s="343"/>
      <c r="AI34" s="343"/>
      <c r="AJ34" s="343"/>
      <c r="AK34" s="343"/>
      <c r="AL34" s="344"/>
      <c r="AM34" s="343"/>
      <c r="AN34" s="343"/>
      <c r="AO34" s="343"/>
      <c r="AP34" s="343"/>
      <c r="AQ34" s="344"/>
      <c r="AR34" s="343"/>
      <c r="AS34" s="343"/>
      <c r="AT34" s="343"/>
      <c r="AU34" s="343"/>
      <c r="AV34" s="344"/>
    </row>
    <row r="35" spans="2:48" outlineLevel="1" x14ac:dyDescent="0.3">
      <c r="B35" s="341" t="s">
        <v>295</v>
      </c>
      <c r="C35" s="355"/>
      <c r="D35" s="343">
        <v>-55.3</v>
      </c>
      <c r="E35" s="343">
        <f>-56.3-D35</f>
        <v>-1</v>
      </c>
      <c r="F35" s="343">
        <f>-106.1-E35-D35</f>
        <v>-49.8</v>
      </c>
      <c r="G35" s="343">
        <f>-111.6-F35-E35-D35</f>
        <v>-5.5</v>
      </c>
      <c r="H35" s="344">
        <f t="shared" si="10"/>
        <v>-111.6</v>
      </c>
      <c r="I35" s="343">
        <v>-78.400000000000006</v>
      </c>
      <c r="J35" s="343">
        <f>-87.6-I35</f>
        <v>-9.1999999999999886</v>
      </c>
      <c r="K35" s="343">
        <f>-89.1-J35-I35</f>
        <v>-1.5</v>
      </c>
      <c r="L35" s="343">
        <f>-91.9-K35-J35-I35</f>
        <v>-2.8000000000000114</v>
      </c>
      <c r="M35" s="344">
        <f t="shared" si="11"/>
        <v>-91.9</v>
      </c>
      <c r="N35" s="343">
        <v>-88.6</v>
      </c>
      <c r="O35" s="343">
        <f>-90.1-N35</f>
        <v>-1.5</v>
      </c>
      <c r="P35" s="343">
        <f>-94.2-O35-N35</f>
        <v>-4.1000000000000085</v>
      </c>
      <c r="Q35" s="343">
        <f>-97-P35-O35-N35</f>
        <v>-2.7999999999999972</v>
      </c>
      <c r="R35" s="344">
        <f t="shared" si="12"/>
        <v>-97</v>
      </c>
      <c r="S35" s="343">
        <v>-113.6</v>
      </c>
      <c r="T35" s="343">
        <f>-122.1-S35</f>
        <v>-8.5</v>
      </c>
      <c r="U35" s="343">
        <f>-123.5-T35-S35</f>
        <v>-1.4000000000000057</v>
      </c>
      <c r="V35" s="343"/>
      <c r="W35" s="344"/>
      <c r="X35" s="343"/>
      <c r="Y35" s="343"/>
      <c r="Z35" s="343"/>
      <c r="AA35" s="343"/>
      <c r="AB35" s="344"/>
      <c r="AC35" s="343"/>
      <c r="AD35" s="343"/>
      <c r="AE35" s="343"/>
      <c r="AF35" s="343"/>
      <c r="AG35" s="344"/>
      <c r="AH35" s="343"/>
      <c r="AI35" s="343"/>
      <c r="AJ35" s="343"/>
      <c r="AK35" s="343"/>
      <c r="AL35" s="344"/>
      <c r="AM35" s="343"/>
      <c r="AN35" s="343"/>
      <c r="AO35" s="343"/>
      <c r="AP35" s="343"/>
      <c r="AQ35" s="344"/>
      <c r="AR35" s="343"/>
      <c r="AS35" s="343"/>
      <c r="AT35" s="343"/>
      <c r="AU35" s="343"/>
      <c r="AV35" s="344"/>
    </row>
    <row r="36" spans="2:48" ht="16.2" outlineLevel="1" x14ac:dyDescent="0.45">
      <c r="B36" s="430" t="s">
        <v>296</v>
      </c>
      <c r="C36" s="431"/>
      <c r="D36" s="345">
        <v>-0.3</v>
      </c>
      <c r="E36" s="345">
        <f>0.1-D36</f>
        <v>0.4</v>
      </c>
      <c r="F36" s="345">
        <f>-17.6-E36-D36</f>
        <v>-17.7</v>
      </c>
      <c r="G36" s="345">
        <f>-17.5-F36-E36-D36</f>
        <v>9.9999999999999256E-2</v>
      </c>
      <c r="H36" s="346">
        <f t="shared" si="10"/>
        <v>-17.5</v>
      </c>
      <c r="I36" s="345">
        <v>0</v>
      </c>
      <c r="J36" s="345">
        <f>-10.4-I36</f>
        <v>-10.4</v>
      </c>
      <c r="K36" s="345">
        <f>-37.8-J36-I36</f>
        <v>-27.4</v>
      </c>
      <c r="L36" s="345">
        <f>-37.7-K36-J36-I36</f>
        <v>9.9999999999996092E-2</v>
      </c>
      <c r="M36" s="346">
        <f t="shared" si="11"/>
        <v>-37.700000000000003</v>
      </c>
      <c r="N36" s="345">
        <v>0</v>
      </c>
      <c r="O36" s="345">
        <f>0-N36</f>
        <v>0</v>
      </c>
      <c r="P36" s="345">
        <f>0-O36-N36</f>
        <v>0</v>
      </c>
      <c r="Q36" s="345">
        <f>0-P36-O36-N36</f>
        <v>0</v>
      </c>
      <c r="R36" s="346">
        <f t="shared" si="12"/>
        <v>0</v>
      </c>
      <c r="S36" s="345">
        <v>0</v>
      </c>
      <c r="T36" s="345">
        <f>-9.2-S36</f>
        <v>-9.1999999999999993</v>
      </c>
      <c r="U36" s="345">
        <f>-9.2-T36-S36</f>
        <v>0</v>
      </c>
      <c r="V36" s="345"/>
      <c r="W36" s="346"/>
      <c r="X36" s="345"/>
      <c r="Y36" s="345"/>
      <c r="Z36" s="345"/>
      <c r="AA36" s="345"/>
      <c r="AB36" s="346"/>
      <c r="AC36" s="345"/>
      <c r="AD36" s="345"/>
      <c r="AE36" s="345"/>
      <c r="AF36" s="345"/>
      <c r="AG36" s="346"/>
      <c r="AH36" s="345"/>
      <c r="AI36" s="345"/>
      <c r="AJ36" s="345"/>
      <c r="AK36" s="345"/>
      <c r="AL36" s="346"/>
      <c r="AM36" s="345"/>
      <c r="AN36" s="345"/>
      <c r="AO36" s="345"/>
      <c r="AP36" s="345"/>
      <c r="AQ36" s="346"/>
      <c r="AR36" s="345"/>
      <c r="AS36" s="345"/>
      <c r="AT36" s="345"/>
      <c r="AU36" s="345"/>
      <c r="AV36" s="346"/>
    </row>
    <row r="37" spans="2:48" outlineLevel="1" x14ac:dyDescent="0.3">
      <c r="B37" s="434" t="s">
        <v>297</v>
      </c>
      <c r="C37" s="435"/>
      <c r="D37" s="347">
        <f t="shared" ref="D37:AV37" si="14">SUM(D29:D36)</f>
        <v>-5858.6</v>
      </c>
      <c r="E37" s="347">
        <f t="shared" si="14"/>
        <v>-2919.2999999999997</v>
      </c>
      <c r="F37" s="347">
        <f t="shared" si="14"/>
        <v>1355.1</v>
      </c>
      <c r="G37" s="347">
        <f t="shared" si="14"/>
        <v>-2634.1</v>
      </c>
      <c r="H37" s="348">
        <f t="shared" si="14"/>
        <v>-10056.9</v>
      </c>
      <c r="I37" s="347">
        <f t="shared" si="14"/>
        <v>-1123.0000000000002</v>
      </c>
      <c r="J37" s="347">
        <f t="shared" si="14"/>
        <v>1273.1000000000001</v>
      </c>
      <c r="K37" s="347">
        <f t="shared" si="14"/>
        <v>2342.9000000000005</v>
      </c>
      <c r="L37" s="347">
        <f t="shared" si="14"/>
        <v>-779.69999999999948</v>
      </c>
      <c r="M37" s="348">
        <f t="shared" si="14"/>
        <v>1713.3000000000009</v>
      </c>
      <c r="N37" s="347">
        <f t="shared" si="14"/>
        <v>-965.80000000000007</v>
      </c>
      <c r="O37" s="347">
        <f t="shared" si="14"/>
        <v>-1711.6</v>
      </c>
      <c r="P37" s="347">
        <f t="shared" si="14"/>
        <v>-490.50000000000011</v>
      </c>
      <c r="Q37" s="347">
        <f t="shared" si="14"/>
        <v>-483.09999999999991</v>
      </c>
      <c r="R37" s="348">
        <f t="shared" si="14"/>
        <v>-3651</v>
      </c>
      <c r="S37" s="347">
        <f t="shared" si="14"/>
        <v>-3969.2</v>
      </c>
      <c r="T37" s="347">
        <f t="shared" si="14"/>
        <v>260.40000000000015</v>
      </c>
      <c r="U37" s="347">
        <f t="shared" si="14"/>
        <v>-1364.4</v>
      </c>
      <c r="V37" s="347"/>
      <c r="W37" s="348"/>
      <c r="X37" s="347"/>
      <c r="Y37" s="347"/>
      <c r="Z37" s="347"/>
      <c r="AA37" s="347"/>
      <c r="AB37" s="348"/>
      <c r="AC37" s="347"/>
      <c r="AD37" s="347"/>
      <c r="AE37" s="347"/>
      <c r="AF37" s="347"/>
      <c r="AG37" s="348"/>
      <c r="AH37" s="347"/>
      <c r="AI37" s="347"/>
      <c r="AJ37" s="347"/>
      <c r="AK37" s="347"/>
      <c r="AL37" s="348"/>
      <c r="AM37" s="347"/>
      <c r="AN37" s="347"/>
      <c r="AO37" s="347"/>
      <c r="AP37" s="347"/>
      <c r="AQ37" s="348"/>
      <c r="AR37" s="347"/>
      <c r="AS37" s="347"/>
      <c r="AT37" s="347"/>
      <c r="AU37" s="347"/>
      <c r="AV37" s="348"/>
    </row>
    <row r="38" spans="2:48" outlineLevel="1" x14ac:dyDescent="0.3">
      <c r="B38" s="259" t="s">
        <v>298</v>
      </c>
      <c r="C38" s="260"/>
      <c r="D38" s="349">
        <f>-4.7-0.1</f>
        <v>-4.8</v>
      </c>
      <c r="E38" s="356">
        <f>18.3-0.1-D38</f>
        <v>23</v>
      </c>
      <c r="F38" s="356">
        <f>-2.5-E38-D38</f>
        <v>-20.7</v>
      </c>
      <c r="G38" s="356">
        <f>-49-F38-E38-D38</f>
        <v>-46.5</v>
      </c>
      <c r="H38" s="353">
        <f>SUM(D38:G38)</f>
        <v>-49</v>
      </c>
      <c r="I38" s="356">
        <v>27.1</v>
      </c>
      <c r="J38" s="356">
        <f>8.7-I38</f>
        <v>-18.400000000000002</v>
      </c>
      <c r="K38" s="356">
        <f>10.9-J38-I38</f>
        <v>2.2000000000000028</v>
      </c>
      <c r="L38" s="356">
        <f>64.7-K38-J38-I38</f>
        <v>53.800000000000004</v>
      </c>
      <c r="M38" s="353">
        <f>SUM(I38:L38)</f>
        <v>64.7</v>
      </c>
      <c r="N38" s="356">
        <v>79.8</v>
      </c>
      <c r="O38" s="356">
        <f>66.7-N38</f>
        <v>-13.099999999999994</v>
      </c>
      <c r="P38" s="356">
        <f>87.9-O38-N38</f>
        <v>21.200000000000003</v>
      </c>
      <c r="Q38" s="356">
        <f>86.2-P38-O38-N38</f>
        <v>-1.7000000000000028</v>
      </c>
      <c r="R38" s="353">
        <f>SUM(N38:Q38)</f>
        <v>86.2</v>
      </c>
      <c r="S38" s="356">
        <v>13</v>
      </c>
      <c r="T38" s="356">
        <f>14.6-S38</f>
        <v>1.5999999999999996</v>
      </c>
      <c r="U38" s="356">
        <f>-126.3-T38-S38</f>
        <v>-140.89999999999998</v>
      </c>
      <c r="V38" s="357"/>
      <c r="W38" s="353"/>
      <c r="X38" s="357"/>
      <c r="Y38" s="357"/>
      <c r="Z38" s="357"/>
      <c r="AA38" s="357"/>
      <c r="AB38" s="353"/>
      <c r="AC38" s="357"/>
      <c r="AD38" s="357"/>
      <c r="AE38" s="357"/>
      <c r="AF38" s="357"/>
      <c r="AG38" s="353"/>
      <c r="AH38" s="357"/>
      <c r="AI38" s="357"/>
      <c r="AJ38" s="357"/>
      <c r="AK38" s="357"/>
      <c r="AL38" s="353"/>
      <c r="AM38" s="357"/>
      <c r="AN38" s="357"/>
      <c r="AO38" s="357"/>
      <c r="AP38" s="357"/>
      <c r="AQ38" s="353"/>
      <c r="AR38" s="357"/>
      <c r="AS38" s="357"/>
      <c r="AT38" s="357"/>
      <c r="AU38" s="357"/>
      <c r="AV38" s="353"/>
    </row>
    <row r="39" spans="2:48" ht="16.2" outlineLevel="1" x14ac:dyDescent="0.45">
      <c r="B39" s="392" t="s">
        <v>299</v>
      </c>
      <c r="C39" s="393"/>
      <c r="D39" s="272">
        <f t="shared" ref="D39:AV39" si="15">D37+D27+D22+D38</f>
        <v>-3994.7999999999997</v>
      </c>
      <c r="E39" s="272">
        <f t="shared" si="15"/>
        <v>-2706.5</v>
      </c>
      <c r="F39" s="272">
        <f t="shared" si="15"/>
        <v>2708.3000000000011</v>
      </c>
      <c r="G39" s="272">
        <f t="shared" si="15"/>
        <v>-2076.7999999999993</v>
      </c>
      <c r="H39" s="273">
        <f t="shared" si="15"/>
        <v>-6069.7999999999938</v>
      </c>
      <c r="I39" s="272">
        <f t="shared" si="15"/>
        <v>353.89999999999839</v>
      </c>
      <c r="J39" s="272">
        <f t="shared" si="15"/>
        <v>-468.20000000000061</v>
      </c>
      <c r="K39" s="272">
        <f t="shared" si="15"/>
        <v>1393.600000000001</v>
      </c>
      <c r="L39" s="272">
        <f t="shared" si="15"/>
        <v>385.0000000000021</v>
      </c>
      <c r="M39" s="273">
        <f t="shared" si="15"/>
        <v>1664.3000000000052</v>
      </c>
      <c r="N39" s="272">
        <f t="shared" si="15"/>
        <v>677.2</v>
      </c>
      <c r="O39" s="272">
        <f t="shared" si="15"/>
        <v>-1147.3999999999996</v>
      </c>
      <c r="P39" s="272">
        <f t="shared" si="15"/>
        <v>872.49999999999909</v>
      </c>
      <c r="Q39" s="272">
        <f t="shared" si="15"/>
        <v>1702.5999999999997</v>
      </c>
      <c r="R39" s="273">
        <f t="shared" si="15"/>
        <v>2104.8999999999978</v>
      </c>
      <c r="S39" s="272">
        <f t="shared" si="15"/>
        <v>-2486.3000000000002</v>
      </c>
      <c r="T39" s="272">
        <f t="shared" si="15"/>
        <v>-55.999999999999567</v>
      </c>
      <c r="U39" s="272">
        <f t="shared" si="15"/>
        <v>-735.90000000000089</v>
      </c>
      <c r="V39" s="272"/>
      <c r="W39" s="273"/>
      <c r="X39" s="272"/>
      <c r="Y39" s="272"/>
      <c r="Z39" s="272"/>
      <c r="AA39" s="272"/>
      <c r="AB39" s="273"/>
      <c r="AC39" s="272"/>
      <c r="AD39" s="272"/>
      <c r="AE39" s="272"/>
      <c r="AF39" s="272"/>
      <c r="AG39" s="273"/>
      <c r="AH39" s="272"/>
      <c r="AI39" s="272"/>
      <c r="AJ39" s="272"/>
      <c r="AK39" s="272"/>
      <c r="AL39" s="273"/>
      <c r="AM39" s="272"/>
      <c r="AN39" s="272"/>
      <c r="AO39" s="272"/>
      <c r="AP39" s="272"/>
      <c r="AQ39" s="273"/>
      <c r="AR39" s="272"/>
      <c r="AS39" s="272"/>
      <c r="AT39" s="272"/>
      <c r="AU39" s="272"/>
      <c r="AV39" s="273"/>
    </row>
    <row r="40" spans="2:48" ht="16.2" outlineLevel="1" x14ac:dyDescent="0.45">
      <c r="B40" s="392" t="s">
        <v>300</v>
      </c>
      <c r="C40" s="393"/>
      <c r="D40" s="272">
        <v>8756.2999999999993</v>
      </c>
      <c r="E40" s="272">
        <f>D41</f>
        <v>4761.6000000000004</v>
      </c>
      <c r="F40" s="272">
        <f>E41</f>
        <v>2055.1000000000004</v>
      </c>
      <c r="G40" s="272">
        <f>F41</f>
        <v>4763.4000000000015</v>
      </c>
      <c r="H40" s="273">
        <f>D40</f>
        <v>8756.2999999999993</v>
      </c>
      <c r="I40" s="112">
        <f>H41</f>
        <v>2686.5000000000055</v>
      </c>
      <c r="J40" s="272">
        <f>I41</f>
        <v>3040.5000000000036</v>
      </c>
      <c r="K40" s="272">
        <f>J41</f>
        <v>2572.3000000000029</v>
      </c>
      <c r="L40" s="272">
        <f>K41</f>
        <v>3965.9000000000042</v>
      </c>
      <c r="M40" s="273">
        <f>H41</f>
        <v>2686.5000000000055</v>
      </c>
      <c r="N40" s="272">
        <f>+M41</f>
        <v>4350.8000000000102</v>
      </c>
      <c r="O40" s="272">
        <f>N41</f>
        <v>5028.00000000001</v>
      </c>
      <c r="P40" s="272">
        <f>O41</f>
        <v>3880.6000000000104</v>
      </c>
      <c r="Q40" s="272">
        <f>P41</f>
        <v>4753.1000000000095</v>
      </c>
      <c r="R40" s="273">
        <f>M41</f>
        <v>4350.8000000000102</v>
      </c>
      <c r="S40" s="272">
        <f>+R41</f>
        <v>6455.700000000008</v>
      </c>
      <c r="T40" s="272">
        <f>S41</f>
        <v>3969.4000000000078</v>
      </c>
      <c r="U40" s="272">
        <f>T41</f>
        <v>3913.4000000000083</v>
      </c>
      <c r="V40" s="272"/>
      <c r="W40" s="273"/>
      <c r="X40" s="272"/>
      <c r="Y40" s="272"/>
      <c r="Z40" s="272"/>
      <c r="AA40" s="272"/>
      <c r="AB40" s="273"/>
      <c r="AC40" s="272"/>
      <c r="AD40" s="272"/>
      <c r="AE40" s="272"/>
      <c r="AF40" s="272"/>
      <c r="AG40" s="273"/>
      <c r="AH40" s="272"/>
      <c r="AI40" s="272"/>
      <c r="AJ40" s="272"/>
      <c r="AK40" s="272"/>
      <c r="AL40" s="273"/>
      <c r="AM40" s="272"/>
      <c r="AN40" s="272"/>
      <c r="AO40" s="272"/>
      <c r="AP40" s="272"/>
      <c r="AQ40" s="273"/>
      <c r="AR40" s="272"/>
      <c r="AS40" s="272"/>
      <c r="AT40" s="272"/>
      <c r="AU40" s="272"/>
      <c r="AV40" s="273"/>
    </row>
    <row r="41" spans="2:48" outlineLevel="1" x14ac:dyDescent="0.3">
      <c r="B41" s="436" t="s">
        <v>301</v>
      </c>
      <c r="C41" s="437"/>
      <c r="D41" s="116">
        <f>+D40+D39+0.1</f>
        <v>4761.6000000000004</v>
      </c>
      <c r="E41" s="116">
        <f>+E40+E39</f>
        <v>2055.1000000000004</v>
      </c>
      <c r="F41" s="116">
        <f>+F40+F39</f>
        <v>4763.4000000000015</v>
      </c>
      <c r="G41" s="116">
        <f>+G40+G39</f>
        <v>2686.6000000000022</v>
      </c>
      <c r="H41" s="151">
        <f>+D40+H39</f>
        <v>2686.5000000000055</v>
      </c>
      <c r="I41" s="116">
        <f>+I40+I39+0.1</f>
        <v>3040.5000000000036</v>
      </c>
      <c r="J41" s="116">
        <f>+J40+J39</f>
        <v>2572.3000000000029</v>
      </c>
      <c r="K41" s="116">
        <f>+K40+K39</f>
        <v>3965.9000000000042</v>
      </c>
      <c r="L41" s="21">
        <f>+L40+L39</f>
        <v>4350.900000000006</v>
      </c>
      <c r="M41" s="22">
        <f>+I40+M39</f>
        <v>4350.8000000000102</v>
      </c>
      <c r="N41" s="21">
        <f>+N40+N39</f>
        <v>5028.00000000001</v>
      </c>
      <c r="O41" s="21">
        <f>+O40+O39</f>
        <v>3880.6000000000104</v>
      </c>
      <c r="P41" s="21">
        <f>+P40+P39</f>
        <v>4753.1000000000095</v>
      </c>
      <c r="Q41" s="21">
        <f>+Q40+Q39</f>
        <v>6455.7000000000089</v>
      </c>
      <c r="R41" s="22">
        <f>+N40+R39</f>
        <v>6455.700000000008</v>
      </c>
      <c r="S41" s="21">
        <f>+S40+S39</f>
        <v>3969.4000000000078</v>
      </c>
      <c r="T41" s="21">
        <f>+T40+T39</f>
        <v>3913.4000000000083</v>
      </c>
      <c r="U41" s="21">
        <f>+U40+U39</f>
        <v>3177.5000000000073</v>
      </c>
      <c r="V41" s="21"/>
      <c r="W41" s="22"/>
      <c r="X41" s="21"/>
      <c r="Y41" s="21"/>
      <c r="Z41" s="21"/>
      <c r="AA41" s="21"/>
      <c r="AB41" s="22"/>
      <c r="AC41" s="21"/>
      <c r="AD41" s="21"/>
      <c r="AE41" s="21"/>
      <c r="AF41" s="21"/>
      <c r="AG41" s="22"/>
      <c r="AH41" s="21"/>
      <c r="AI41" s="21"/>
      <c r="AJ41" s="21"/>
      <c r="AK41" s="21"/>
      <c r="AL41" s="22"/>
      <c r="AM41" s="21"/>
      <c r="AN41" s="21"/>
      <c r="AO41" s="21"/>
      <c r="AP41" s="21"/>
      <c r="AQ41" s="22"/>
      <c r="AR41" s="21"/>
      <c r="AS41" s="21"/>
      <c r="AT41" s="21"/>
      <c r="AU41" s="21"/>
      <c r="AV41" s="22"/>
    </row>
    <row r="42" spans="2:48" s="23" customFormat="1" outlineLevel="1" x14ac:dyDescent="0.3">
      <c r="B42" s="438" t="s">
        <v>302</v>
      </c>
      <c r="C42" s="439"/>
      <c r="D42" s="337">
        <v>2005.0402389719043</v>
      </c>
      <c r="E42" s="337">
        <v>32.797782133649051</v>
      </c>
      <c r="F42" s="337">
        <v>800.47115529563439</v>
      </c>
      <c r="G42" s="337">
        <v>655.49374492815036</v>
      </c>
      <c r="H42" s="358">
        <f>SUM(D42:G42)</f>
        <v>3493.8029213293385</v>
      </c>
      <c r="I42" s="337">
        <v>1512.1834394869049</v>
      </c>
      <c r="J42" s="337">
        <v>-1649.3257105864959</v>
      </c>
      <c r="K42" s="337">
        <v>-655.28292176258594</v>
      </c>
      <c r="L42" s="337">
        <v>1241.2337316198416</v>
      </c>
      <c r="M42" s="358">
        <f>SUM(I42:L42)</f>
        <v>448.80853875766468</v>
      </c>
      <c r="N42" s="337">
        <v>1603.9404912521177</v>
      </c>
      <c r="O42" s="337">
        <v>648.1750330902529</v>
      </c>
      <c r="P42" s="337">
        <v>1498.049641325518</v>
      </c>
      <c r="Q42" s="337">
        <v>1128.7639042668213</v>
      </c>
      <c r="R42" s="358">
        <f>SUM(N42:Q42)</f>
        <v>4878.9290699347102</v>
      </c>
      <c r="S42" s="337">
        <v>1542.4047940461403</v>
      </c>
      <c r="T42" s="337">
        <v>-201.98490051261621</v>
      </c>
      <c r="U42" s="337">
        <v>935.57857889921752</v>
      </c>
      <c r="V42" s="337"/>
      <c r="W42" s="358"/>
      <c r="X42" s="337"/>
      <c r="Y42" s="337"/>
      <c r="Z42" s="337"/>
      <c r="AA42" s="337"/>
      <c r="AB42" s="358"/>
      <c r="AC42" s="337"/>
      <c r="AD42" s="337"/>
      <c r="AE42" s="337"/>
      <c r="AF42" s="337"/>
      <c r="AG42" s="358"/>
      <c r="AH42" s="337"/>
      <c r="AI42" s="337"/>
      <c r="AJ42" s="337"/>
      <c r="AK42" s="337"/>
      <c r="AL42" s="358"/>
      <c r="AM42" s="337"/>
      <c r="AN42" s="337"/>
      <c r="AO42" s="337"/>
      <c r="AP42" s="337"/>
      <c r="AQ42" s="358"/>
      <c r="AR42" s="337"/>
      <c r="AS42" s="337"/>
      <c r="AT42" s="337"/>
      <c r="AU42" s="337"/>
      <c r="AV42" s="358"/>
    </row>
    <row r="43" spans="2:48" s="23" customFormat="1" outlineLevel="1" x14ac:dyDescent="0.3">
      <c r="B43" s="341" t="s">
        <v>303</v>
      </c>
      <c r="C43" s="342"/>
      <c r="D43" s="343"/>
      <c r="E43" s="343"/>
      <c r="F43" s="359"/>
      <c r="G43" s="343"/>
      <c r="H43" s="344">
        <v>0</v>
      </c>
      <c r="I43" s="343"/>
      <c r="J43" s="343"/>
      <c r="K43" s="343"/>
      <c r="L43" s="343"/>
      <c r="M43" s="344">
        <v>0</v>
      </c>
      <c r="N43" s="343"/>
      <c r="O43" s="343"/>
      <c r="P43" s="343"/>
      <c r="Q43" s="343"/>
      <c r="R43" s="344">
        <v>0</v>
      </c>
      <c r="S43" s="343"/>
      <c r="T43" s="343"/>
      <c r="U43" s="343"/>
      <c r="V43" s="343"/>
      <c r="W43" s="344"/>
      <c r="X43" s="343"/>
      <c r="Y43" s="343"/>
      <c r="Z43" s="343"/>
      <c r="AA43" s="343"/>
      <c r="AB43" s="344"/>
      <c r="AC43" s="343"/>
      <c r="AD43" s="343"/>
      <c r="AE43" s="343"/>
      <c r="AF43" s="343"/>
      <c r="AG43" s="344"/>
      <c r="AH43" s="343"/>
      <c r="AI43" s="343"/>
      <c r="AJ43" s="343"/>
      <c r="AK43" s="343"/>
      <c r="AL43" s="344"/>
      <c r="AM43" s="343"/>
      <c r="AN43" s="343"/>
      <c r="AO43" s="343"/>
      <c r="AP43" s="343"/>
      <c r="AQ43" s="344"/>
      <c r="AR43" s="343"/>
      <c r="AS43" s="343"/>
      <c r="AT43" s="343"/>
      <c r="AU43" s="343"/>
      <c r="AV43" s="344"/>
    </row>
    <row r="44" spans="2:48" s="23" customFormat="1" outlineLevel="1" x14ac:dyDescent="0.3">
      <c r="B44" s="440" t="s">
        <v>304</v>
      </c>
      <c r="C44" s="441"/>
      <c r="D44" s="360"/>
      <c r="E44" s="360"/>
      <c r="F44" s="360"/>
      <c r="G44" s="360"/>
      <c r="H44" s="361">
        <v>3493.8029213293385</v>
      </c>
      <c r="I44" s="360"/>
      <c r="J44" s="360"/>
      <c r="K44" s="360"/>
      <c r="L44" s="360"/>
      <c r="M44" s="361">
        <v>448.80853875766468</v>
      </c>
      <c r="N44" s="360"/>
      <c r="O44" s="360"/>
      <c r="P44" s="360"/>
      <c r="Q44" s="360"/>
      <c r="R44" s="361">
        <v>4878.9290699347102</v>
      </c>
      <c r="S44" s="360"/>
      <c r="T44" s="360"/>
      <c r="U44" s="360"/>
      <c r="V44" s="360"/>
      <c r="W44" s="361"/>
      <c r="X44" s="360"/>
      <c r="Y44" s="360"/>
      <c r="Z44" s="360"/>
      <c r="AA44" s="360"/>
      <c r="AB44" s="361"/>
      <c r="AC44" s="360"/>
      <c r="AD44" s="360"/>
      <c r="AE44" s="360"/>
      <c r="AF44" s="360"/>
      <c r="AG44" s="361"/>
      <c r="AH44" s="360"/>
      <c r="AI44" s="360"/>
      <c r="AJ44" s="360"/>
      <c r="AK44" s="360"/>
      <c r="AL44" s="361"/>
      <c r="AM44" s="360"/>
      <c r="AN44" s="360"/>
      <c r="AO44" s="360"/>
      <c r="AP44" s="360"/>
      <c r="AQ44" s="361"/>
      <c r="AR44" s="360"/>
      <c r="AS44" s="360"/>
      <c r="AT44" s="360"/>
      <c r="AU44" s="360"/>
      <c r="AV44" s="361"/>
    </row>
    <row r="45" spans="2:48" outlineLevel="1" x14ac:dyDescent="0.3">
      <c r="B45" s="261" t="s">
        <v>305</v>
      </c>
      <c r="C45" s="260"/>
      <c r="D45" s="350"/>
      <c r="E45" s="350"/>
      <c r="F45" s="350"/>
      <c r="G45" s="350"/>
      <c r="H45" s="351"/>
      <c r="I45" s="350"/>
      <c r="J45" s="350"/>
      <c r="K45" s="350"/>
      <c r="L45" s="350"/>
      <c r="M45" s="351"/>
      <c r="N45" s="350"/>
      <c r="O45" s="350"/>
      <c r="P45" s="350"/>
      <c r="Q45" s="350"/>
      <c r="R45" s="351"/>
      <c r="S45" s="350"/>
      <c r="T45" s="350"/>
      <c r="U45" s="350"/>
      <c r="V45" s="350"/>
      <c r="W45" s="351"/>
      <c r="X45" s="350"/>
      <c r="Y45" s="350"/>
      <c r="Z45" s="350"/>
      <c r="AA45" s="350"/>
      <c r="AB45" s="351"/>
      <c r="AC45" s="350"/>
      <c r="AD45" s="350"/>
      <c r="AE45" s="350"/>
      <c r="AF45" s="350"/>
      <c r="AG45" s="351"/>
      <c r="AH45" s="350"/>
      <c r="AI45" s="350"/>
      <c r="AJ45" s="350"/>
      <c r="AK45" s="350"/>
      <c r="AL45" s="351"/>
      <c r="AM45" s="350"/>
      <c r="AN45" s="350"/>
      <c r="AO45" s="350"/>
      <c r="AP45" s="350"/>
      <c r="AQ45" s="351"/>
      <c r="AR45" s="350"/>
      <c r="AS45" s="350"/>
      <c r="AT45" s="350"/>
      <c r="AU45" s="350"/>
      <c r="AV45" s="351"/>
    </row>
    <row r="46" spans="2:48" outlineLevel="1" x14ac:dyDescent="0.3">
      <c r="B46" s="210" t="s">
        <v>306</v>
      </c>
      <c r="C46" s="211"/>
      <c r="D46" s="16">
        <f>+'Balance Sheet'!D6+'Balance Sheet'!D7+'Balance Sheet'!D12</f>
        <v>5256.8</v>
      </c>
      <c r="E46" s="16">
        <f>+'Balance Sheet'!E6+'Balance Sheet'!E7+'Balance Sheet'!E12</f>
        <v>2383.6000000000004</v>
      </c>
      <c r="F46" s="16">
        <f>+'Balance Sheet'!F6+'Balance Sheet'!F7+'Balance Sheet'!F12</f>
        <v>5058.1000000000022</v>
      </c>
      <c r="G46" s="16">
        <f>+'Balance Sheet'!G6+'Balance Sheet'!G7+'Balance Sheet'!G12</f>
        <v>2977.1000000000022</v>
      </c>
      <c r="H46" s="17">
        <f>+'Balance Sheet'!H6+'Balance Sheet'!H7+'Balance Sheet'!H12</f>
        <v>2977.1000000000022</v>
      </c>
      <c r="I46" s="16">
        <f>+'Balance Sheet'!I6+'Balance Sheet'!I7+'Balance Sheet'!I12</f>
        <v>3308.7000000000039</v>
      </c>
      <c r="J46" s="16">
        <f>+'Balance Sheet'!J6+'Balance Sheet'!J7+'Balance Sheet'!J12</f>
        <v>2824.0000000000032</v>
      </c>
      <c r="K46" s="16">
        <f>+'Balance Sheet'!K6+'Balance Sheet'!K7+'Balance Sheet'!K12</f>
        <v>4419.2000000000035</v>
      </c>
      <c r="L46" s="16">
        <f>+'Balance Sheet'!L6+'Balance Sheet'!L7+'Balance Sheet'!L12</f>
        <v>4838.2000000000062</v>
      </c>
      <c r="M46" s="17">
        <f>+'Balance Sheet'!M6+'Balance Sheet'!M7+'Balance Sheet'!M12</f>
        <v>4838.2000000000062</v>
      </c>
      <c r="N46" s="16">
        <f>+'Balance Sheet'!N6+'Balance Sheet'!N7+'Balance Sheet'!N12</f>
        <v>5454.4000000000096</v>
      </c>
      <c r="O46" s="16">
        <f>+'Balance Sheet'!O6+'Balance Sheet'!O7+'Balance Sheet'!O12</f>
        <v>4288.4000000000106</v>
      </c>
      <c r="P46" s="16">
        <f>+'Balance Sheet'!P6+'Balance Sheet'!P7+'Balance Sheet'!P12</f>
        <v>5192.6000000000095</v>
      </c>
      <c r="Q46" s="16">
        <f>+'Balance Sheet'!Q6+'Balance Sheet'!Q7+'Balance Sheet'!Q12</f>
        <v>6899.6000000000085</v>
      </c>
      <c r="R46" s="17">
        <f>+'Balance Sheet'!R6+'Balance Sheet'!R7+'Balance Sheet'!R12</f>
        <v>6899.6000000000085</v>
      </c>
      <c r="S46" s="16">
        <f>+'Balance Sheet'!S6+'Balance Sheet'!S7+'Balance Sheet'!S12</f>
        <v>4356.4000000000078</v>
      </c>
      <c r="T46" s="16">
        <f>+'Balance Sheet'!T6+'Balance Sheet'!T7+'Balance Sheet'!T12</f>
        <v>4281.1000000000085</v>
      </c>
      <c r="U46" s="16">
        <f>+'Balance Sheet'!U6+'Balance Sheet'!U7+'Balance Sheet'!U12</f>
        <v>3546.9000000000074</v>
      </c>
      <c r="V46" s="16"/>
      <c r="W46" s="17"/>
      <c r="X46" s="16"/>
      <c r="Y46" s="16"/>
      <c r="Z46" s="16"/>
      <c r="AA46" s="16"/>
      <c r="AB46" s="17"/>
      <c r="AC46" s="16"/>
      <c r="AD46" s="16"/>
      <c r="AE46" s="16"/>
      <c r="AF46" s="16"/>
      <c r="AG46" s="17"/>
      <c r="AH46" s="16"/>
      <c r="AI46" s="16"/>
      <c r="AJ46" s="16"/>
      <c r="AK46" s="16"/>
      <c r="AL46" s="17"/>
      <c r="AM46" s="16"/>
      <c r="AN46" s="16"/>
      <c r="AO46" s="16"/>
      <c r="AP46" s="16"/>
      <c r="AQ46" s="17"/>
      <c r="AR46" s="16"/>
      <c r="AS46" s="16"/>
      <c r="AT46" s="16"/>
      <c r="AU46" s="16"/>
      <c r="AV46" s="17"/>
    </row>
    <row r="47" spans="2:48" outlineLevel="1" x14ac:dyDescent="0.3">
      <c r="B47" s="210" t="s">
        <v>307</v>
      </c>
      <c r="C47" s="211"/>
      <c r="D47" s="16">
        <f>'Balance Sheet'!D28+'Balance Sheet'!D31</f>
        <v>9130.7000000000007</v>
      </c>
      <c r="E47" s="16">
        <f>'Balance Sheet'!E28+'Balance Sheet'!E31</f>
        <v>9216.5</v>
      </c>
      <c r="F47" s="16">
        <f>'Balance Sheet'!F28+'Balance Sheet'!F31</f>
        <v>11159.1</v>
      </c>
      <c r="G47" s="16">
        <f>'Balance Sheet'!G28+'Balance Sheet'!G31</f>
        <v>11167</v>
      </c>
      <c r="H47" s="17">
        <f>'Balance Sheet'!H28+'Balance Sheet'!H31</f>
        <v>11167</v>
      </c>
      <c r="I47" s="16">
        <f>'Balance Sheet'!I28+'Balance Sheet'!I31</f>
        <v>11649.800000000001</v>
      </c>
      <c r="J47" s="16">
        <f>'Balance Sheet'!J28+'Balance Sheet'!J31</f>
        <v>14015.2</v>
      </c>
      <c r="K47" s="16">
        <f>'Balance Sheet'!K28+'Balance Sheet'!K31</f>
        <v>16831.7</v>
      </c>
      <c r="L47" s="16">
        <f>'Balance Sheet'!L28+'Balance Sheet'!L31</f>
        <v>16348.300000000001</v>
      </c>
      <c r="M47" s="17">
        <f>'Balance Sheet'!M28+'Balance Sheet'!M31</f>
        <v>16348.300000000001</v>
      </c>
      <c r="N47" s="16">
        <f>'Balance Sheet'!N28+'Balance Sheet'!N31</f>
        <v>15916.1</v>
      </c>
      <c r="O47" s="16">
        <f>'Balance Sheet'!O28+'Balance Sheet'!O31</f>
        <v>14648.599999999999</v>
      </c>
      <c r="P47" s="16">
        <f>'Balance Sheet'!P28+'Balance Sheet'!P31</f>
        <v>14618.1</v>
      </c>
      <c r="Q47" s="16">
        <f>'Balance Sheet'!Q28+'Balance Sheet'!Q31</f>
        <v>14615.8</v>
      </c>
      <c r="R47" s="17">
        <f>'Balance Sheet'!R28+'Balance Sheet'!R31</f>
        <v>14615.8</v>
      </c>
      <c r="S47" s="16">
        <f>'Balance Sheet'!S28+'Balance Sheet'!S31</f>
        <v>14785.599999999999</v>
      </c>
      <c r="T47" s="16">
        <f>'Balance Sheet'!T28+'Balance Sheet'!T31</f>
        <v>16013</v>
      </c>
      <c r="U47" s="16">
        <f>'Balance Sheet'!U28+'Balance Sheet'!U31</f>
        <v>15129.9</v>
      </c>
      <c r="V47" s="16"/>
      <c r="W47" s="17"/>
      <c r="X47" s="16"/>
      <c r="Y47" s="16"/>
      <c r="Z47" s="16"/>
      <c r="AA47" s="16"/>
      <c r="AB47" s="17"/>
      <c r="AC47" s="16"/>
      <c r="AD47" s="16"/>
      <c r="AE47" s="16"/>
      <c r="AF47" s="16"/>
      <c r="AG47" s="17"/>
      <c r="AH47" s="16"/>
      <c r="AI47" s="16"/>
      <c r="AJ47" s="16"/>
      <c r="AK47" s="16"/>
      <c r="AL47" s="17"/>
      <c r="AM47" s="16"/>
      <c r="AN47" s="16"/>
      <c r="AO47" s="16"/>
      <c r="AP47" s="16"/>
      <c r="AQ47" s="17"/>
      <c r="AR47" s="16"/>
      <c r="AS47" s="16"/>
      <c r="AT47" s="16"/>
      <c r="AU47" s="16"/>
      <c r="AV47" s="17"/>
    </row>
    <row r="48" spans="2:48" outlineLevel="1" x14ac:dyDescent="0.3">
      <c r="B48" s="442" t="s">
        <v>308</v>
      </c>
      <c r="C48" s="443"/>
      <c r="D48" s="362">
        <v>-3.0907132599329823</v>
      </c>
      <c r="E48" s="362">
        <v>-5.4632605740785154</v>
      </c>
      <c r="F48" s="362">
        <v>-4.9885527391659839</v>
      </c>
      <c r="G48" s="362">
        <v>-6.6975821179389685</v>
      </c>
      <c r="H48" s="363">
        <v>-6.6411774245864397</v>
      </c>
      <c r="I48" s="362">
        <v>-7.0034424853064623</v>
      </c>
      <c r="J48" s="362">
        <v>-9.4784449902600123</v>
      </c>
      <c r="K48" s="362">
        <v>-10.62259306803594</v>
      </c>
      <c r="L48" s="362">
        <v>-9.7625954198473242</v>
      </c>
      <c r="M48" s="363">
        <v>-9.6019593007244595</v>
      </c>
      <c r="N48" s="362">
        <v>-8.8433643279797032</v>
      </c>
      <c r="O48" s="362">
        <v>-8.7442606347062704</v>
      </c>
      <c r="P48" s="362">
        <v>-7.9459618951272892</v>
      </c>
      <c r="Q48" s="362">
        <v>-6.4956646182338496</v>
      </c>
      <c r="R48" s="363">
        <v>-6.504862503325251</v>
      </c>
      <c r="S48" s="362">
        <v>-8.8638449770525156</v>
      </c>
      <c r="T48" s="362">
        <v>-10.167172198630722</v>
      </c>
      <c r="U48" s="362">
        <v>-10.06342311033883</v>
      </c>
      <c r="V48" s="362"/>
      <c r="W48" s="363"/>
      <c r="X48" s="362"/>
      <c r="Y48" s="362"/>
      <c r="Z48" s="362"/>
      <c r="AA48" s="362"/>
      <c r="AB48" s="363"/>
      <c r="AC48" s="362"/>
      <c r="AD48" s="362"/>
      <c r="AE48" s="362"/>
      <c r="AF48" s="362"/>
      <c r="AG48" s="363"/>
      <c r="AH48" s="362"/>
      <c r="AI48" s="362"/>
      <c r="AJ48" s="362"/>
      <c r="AK48" s="362"/>
      <c r="AL48" s="363"/>
      <c r="AM48" s="362"/>
      <c r="AN48" s="362"/>
      <c r="AO48" s="362"/>
      <c r="AP48" s="362"/>
      <c r="AQ48" s="363"/>
      <c r="AR48" s="362"/>
      <c r="AS48" s="362"/>
      <c r="AT48" s="362"/>
      <c r="AU48" s="362"/>
      <c r="AV48" s="363"/>
    </row>
    <row r="49" spans="2:48" x14ac:dyDescent="0.3">
      <c r="B49" s="444"/>
      <c r="C49" s="44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row>
    <row r="50" spans="2:48" ht="15.6" x14ac:dyDescent="0.3">
      <c r="B50" s="388" t="s">
        <v>309</v>
      </c>
      <c r="C50" s="389"/>
      <c r="D50" s="13" t="s">
        <v>15</v>
      </c>
      <c r="E50" s="13" t="s">
        <v>82</v>
      </c>
      <c r="F50" s="13" t="s">
        <v>84</v>
      </c>
      <c r="G50" s="13" t="s">
        <v>148</v>
      </c>
      <c r="H50" s="39" t="s">
        <v>148</v>
      </c>
      <c r="I50" s="13" t="s">
        <v>147</v>
      </c>
      <c r="J50" s="13" t="s">
        <v>146</v>
      </c>
      <c r="K50" s="13" t="s">
        <v>145</v>
      </c>
      <c r="L50" s="13" t="s">
        <v>142</v>
      </c>
      <c r="M50" s="39" t="s">
        <v>142</v>
      </c>
      <c r="N50" s="13" t="s">
        <v>149</v>
      </c>
      <c r="O50" s="13" t="s">
        <v>157</v>
      </c>
      <c r="P50" s="13" t="s">
        <v>159</v>
      </c>
      <c r="Q50" s="13" t="s">
        <v>172</v>
      </c>
      <c r="R50" s="39" t="s">
        <v>172</v>
      </c>
      <c r="S50" s="13" t="s">
        <v>188</v>
      </c>
      <c r="T50" s="13" t="s">
        <v>191</v>
      </c>
      <c r="U50" s="13" t="s">
        <v>204</v>
      </c>
      <c r="V50" s="15" t="s">
        <v>20</v>
      </c>
      <c r="W50" s="41" t="s">
        <v>20</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161</v>
      </c>
      <c r="AN50" s="15" t="s">
        <v>162</v>
      </c>
      <c r="AO50" s="15" t="s">
        <v>163</v>
      </c>
      <c r="AP50" s="15" t="s">
        <v>164</v>
      </c>
      <c r="AQ50" s="41" t="s">
        <v>164</v>
      </c>
      <c r="AR50" s="15" t="s">
        <v>192</v>
      </c>
      <c r="AS50" s="15" t="s">
        <v>193</v>
      </c>
      <c r="AT50" s="15" t="s">
        <v>194</v>
      </c>
      <c r="AU50" s="15" t="s">
        <v>195</v>
      </c>
      <c r="AV50" s="41" t="s">
        <v>195</v>
      </c>
    </row>
    <row r="51" spans="2:48" ht="16.2" x14ac:dyDescent="0.45">
      <c r="B51" s="390"/>
      <c r="C51" s="391"/>
      <c r="D51" s="14" t="s">
        <v>19</v>
      </c>
      <c r="E51" s="14" t="s">
        <v>81</v>
      </c>
      <c r="F51" s="14" t="s">
        <v>85</v>
      </c>
      <c r="G51" s="14" t="s">
        <v>95</v>
      </c>
      <c r="H51" s="40" t="s">
        <v>96</v>
      </c>
      <c r="I51" s="14" t="s">
        <v>97</v>
      </c>
      <c r="J51" s="14" t="s">
        <v>98</v>
      </c>
      <c r="K51" s="14" t="s">
        <v>99</v>
      </c>
      <c r="L51" s="14" t="s">
        <v>143</v>
      </c>
      <c r="M51" s="40" t="s">
        <v>144</v>
      </c>
      <c r="N51" s="14" t="s">
        <v>150</v>
      </c>
      <c r="O51" s="14" t="s">
        <v>158</v>
      </c>
      <c r="P51" s="14" t="s">
        <v>160</v>
      </c>
      <c r="Q51" s="14" t="s">
        <v>173</v>
      </c>
      <c r="R51" s="40" t="s">
        <v>174</v>
      </c>
      <c r="S51" s="14" t="s">
        <v>189</v>
      </c>
      <c r="T51" s="14" t="s">
        <v>190</v>
      </c>
      <c r="U51" s="14" t="s">
        <v>205</v>
      </c>
      <c r="V51" s="12" t="s">
        <v>25</v>
      </c>
      <c r="W51" s="42" t="s">
        <v>26</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165</v>
      </c>
      <c r="AN51" s="12" t="s">
        <v>166</v>
      </c>
      <c r="AO51" s="12" t="s">
        <v>167</v>
      </c>
      <c r="AP51" s="12" t="s">
        <v>168</v>
      </c>
      <c r="AQ51" s="42" t="s">
        <v>169</v>
      </c>
      <c r="AR51" s="12" t="s">
        <v>196</v>
      </c>
      <c r="AS51" s="12" t="s">
        <v>197</v>
      </c>
      <c r="AT51" s="12" t="s">
        <v>198</v>
      </c>
      <c r="AU51" s="12" t="s">
        <v>199</v>
      </c>
      <c r="AV51" s="42" t="s">
        <v>200</v>
      </c>
    </row>
    <row r="52" spans="2:48" ht="16.2" outlineLevel="1" x14ac:dyDescent="0.45">
      <c r="B52" s="406" t="s">
        <v>310</v>
      </c>
      <c r="C52" s="407"/>
      <c r="D52" s="365"/>
      <c r="E52" s="365"/>
      <c r="F52" s="365"/>
      <c r="G52" s="365"/>
      <c r="H52" s="366"/>
      <c r="I52" s="365"/>
      <c r="J52" s="365"/>
      <c r="K52" s="365"/>
      <c r="L52" s="365"/>
      <c r="M52" s="366"/>
      <c r="N52" s="365"/>
      <c r="O52" s="365"/>
      <c r="P52" s="365"/>
      <c r="Q52" s="365"/>
      <c r="R52" s="366"/>
      <c r="S52" s="365"/>
      <c r="T52" s="365"/>
      <c r="U52" s="365"/>
      <c r="V52" s="365"/>
      <c r="W52" s="366"/>
      <c r="X52" s="365"/>
      <c r="Y52" s="365"/>
      <c r="Z52" s="365"/>
      <c r="AA52" s="365"/>
      <c r="AB52" s="366"/>
      <c r="AC52" s="365"/>
      <c r="AD52" s="365"/>
      <c r="AE52" s="365"/>
      <c r="AF52" s="365"/>
      <c r="AG52" s="366"/>
      <c r="AH52" s="365"/>
      <c r="AI52" s="365"/>
      <c r="AJ52" s="365"/>
      <c r="AK52" s="365"/>
      <c r="AL52" s="366"/>
      <c r="AM52" s="365"/>
      <c r="AN52" s="365"/>
      <c r="AO52" s="365"/>
      <c r="AP52" s="365"/>
      <c r="AQ52" s="366"/>
      <c r="AR52" s="365"/>
      <c r="AS52" s="365"/>
      <c r="AT52" s="365"/>
      <c r="AU52" s="365"/>
      <c r="AV52" s="366"/>
    </row>
    <row r="53" spans="2:48" s="23" customFormat="1" outlineLevel="1" x14ac:dyDescent="0.3">
      <c r="B53" s="210" t="s">
        <v>311</v>
      </c>
      <c r="C53" s="211"/>
      <c r="D53" s="367">
        <v>1.4669742337208073E-2</v>
      </c>
      <c r="E53" s="293">
        <v>1.5033540018078308E-2</v>
      </c>
      <c r="F53" s="113">
        <v>9.2774439396160081E-3</v>
      </c>
      <c r="G53" s="113">
        <v>7.7960575070401619E-3</v>
      </c>
      <c r="H53" s="126">
        <v>1.1618870857004896E-2</v>
      </c>
      <c r="I53" s="113">
        <v>1.2723506784461259E-2</v>
      </c>
      <c r="J53" s="113">
        <v>9.3900628783961833E-3</v>
      </c>
      <c r="K53" s="113">
        <v>9.8055470026763899E-3</v>
      </c>
      <c r="L53" s="113">
        <v>9.7693088939401224E-3</v>
      </c>
      <c r="M53" s="294"/>
      <c r="N53" s="113">
        <v>1.4712418881678371E-2</v>
      </c>
      <c r="O53" s="113">
        <v>1.1397720455908821E-2</v>
      </c>
      <c r="P53" s="113">
        <v>1.0671646768491964E-2</v>
      </c>
      <c r="Q53" s="113">
        <v>7.8313918519155035E-3</v>
      </c>
      <c r="R53" s="294"/>
      <c r="S53" s="113">
        <v>1.1900029812183245E-2</v>
      </c>
      <c r="T53" s="113">
        <v>6.9935564985069932E-3</v>
      </c>
      <c r="U53" s="113">
        <v>7.0428583698359517E-3</v>
      </c>
      <c r="V53" s="35"/>
      <c r="W53" s="294"/>
      <c r="X53" s="35"/>
      <c r="Y53" s="35"/>
      <c r="Z53" s="35"/>
      <c r="AA53" s="35"/>
      <c r="AB53" s="294"/>
      <c r="AC53" s="35"/>
      <c r="AD53" s="35"/>
      <c r="AE53" s="35"/>
      <c r="AF53" s="35"/>
      <c r="AG53" s="294"/>
      <c r="AH53" s="35"/>
      <c r="AI53" s="35"/>
      <c r="AJ53" s="35"/>
      <c r="AK53" s="35"/>
      <c r="AL53" s="294"/>
      <c r="AM53" s="35"/>
      <c r="AN53" s="35"/>
      <c r="AO53" s="35"/>
      <c r="AP53" s="35"/>
      <c r="AQ53" s="294"/>
      <c r="AR53" s="35"/>
      <c r="AS53" s="35"/>
      <c r="AT53" s="35"/>
      <c r="AU53" s="35"/>
      <c r="AV53" s="294"/>
    </row>
    <row r="54" spans="2:48" s="23" customFormat="1" outlineLevel="1" x14ac:dyDescent="0.3">
      <c r="B54" s="210" t="s">
        <v>312</v>
      </c>
      <c r="C54" s="211"/>
      <c r="D54" s="367">
        <f t="shared" ref="D54:L54" si="16">+D10/-D9</f>
        <v>1.1581818181818182</v>
      </c>
      <c r="E54" s="367">
        <f t="shared" si="16"/>
        <v>0.55639097744360888</v>
      </c>
      <c r="F54" s="113">
        <f t="shared" si="16"/>
        <v>1.0682852807283763</v>
      </c>
      <c r="G54" s="113">
        <f t="shared" si="16"/>
        <v>0.69411764705882406</v>
      </c>
      <c r="H54" s="126">
        <f t="shared" si="16"/>
        <v>0.86512370311252995</v>
      </c>
      <c r="I54" s="113">
        <f t="shared" si="16"/>
        <v>1.0222575516693164</v>
      </c>
      <c r="J54" s="113">
        <f t="shared" si="16"/>
        <v>0.63295880149812733</v>
      </c>
      <c r="K54" s="113">
        <f t="shared" si="16"/>
        <v>1.0227272727272729</v>
      </c>
      <c r="L54" s="113">
        <f t="shared" si="16"/>
        <v>0.63109756097560987</v>
      </c>
      <c r="M54" s="294"/>
      <c r="N54" s="113">
        <f>+N10/-N9</f>
        <v>1.1188405797101451</v>
      </c>
      <c r="O54" s="113">
        <f>+O10/-O9</f>
        <v>0.85072231139646837</v>
      </c>
      <c r="P54" s="113">
        <f>+P10/-P9</f>
        <v>0.9018691588785045</v>
      </c>
      <c r="Q54" s="113">
        <f>+Q10/-Q9</f>
        <v>1.0027522935779816</v>
      </c>
      <c r="R54" s="294"/>
      <c r="S54" s="113">
        <f>+S10/-S9</f>
        <v>0.96351931330472096</v>
      </c>
      <c r="T54" s="113">
        <f>+T10/-T9</f>
        <v>0.77531206657420249</v>
      </c>
      <c r="U54" s="113">
        <f>+U10/-U9</f>
        <v>0.80106571936056836</v>
      </c>
      <c r="V54" s="35"/>
      <c r="W54" s="294"/>
      <c r="X54" s="35"/>
      <c r="Y54" s="35"/>
      <c r="Z54" s="35"/>
      <c r="AA54" s="35"/>
      <c r="AB54" s="294"/>
      <c r="AC54" s="35"/>
      <c r="AD54" s="35"/>
      <c r="AE54" s="35"/>
      <c r="AF54" s="35"/>
      <c r="AG54" s="294"/>
      <c r="AH54" s="35"/>
      <c r="AI54" s="35"/>
      <c r="AJ54" s="35"/>
      <c r="AK54" s="35"/>
      <c r="AL54" s="294"/>
      <c r="AM54" s="35"/>
      <c r="AN54" s="35"/>
      <c r="AO54" s="35"/>
      <c r="AP54" s="35"/>
      <c r="AQ54" s="294"/>
      <c r="AR54" s="35"/>
      <c r="AS54" s="35"/>
      <c r="AT54" s="35"/>
      <c r="AU54" s="35"/>
      <c r="AV54" s="294"/>
    </row>
    <row r="55" spans="2:48" s="23" customFormat="1" outlineLevel="1" x14ac:dyDescent="0.3">
      <c r="B55" s="392" t="s">
        <v>313</v>
      </c>
      <c r="C55" s="393"/>
      <c r="D55" s="368"/>
      <c r="E55" s="368"/>
      <c r="F55" s="368"/>
      <c r="G55" s="368"/>
      <c r="H55" s="369"/>
      <c r="I55" s="368">
        <f>I22/D22-1</f>
        <v>-0.22820512820512895</v>
      </c>
      <c r="J55" s="368">
        <f t="shared" ref="J55:AV55" si="17">J22/E22-1</f>
        <v>-4.4869364754098413</v>
      </c>
      <c r="K55" s="368">
        <f t="shared" si="17"/>
        <v>-1.314434752864716</v>
      </c>
      <c r="L55" s="368">
        <f t="shared" si="17"/>
        <v>0.34527569713924766</v>
      </c>
      <c r="M55" s="369">
        <f t="shared" si="17"/>
        <v>-0.68340961778517451</v>
      </c>
      <c r="N55" s="368">
        <f t="shared" si="17"/>
        <v>-2.1785305811139466E-4</v>
      </c>
      <c r="O55" s="368">
        <f t="shared" si="17"/>
        <v>-1.649232351428781</v>
      </c>
      <c r="P55" s="368">
        <f t="shared" si="17"/>
        <v>-5.7565950503127619</v>
      </c>
      <c r="Q55" s="368">
        <f t="shared" si="17"/>
        <v>2.012477359629572E-2</v>
      </c>
      <c r="R55" s="369">
        <f t="shared" si="17"/>
        <v>2.7484040555764064</v>
      </c>
      <c r="S55" s="368">
        <f t="shared" si="17"/>
        <v>1.9175246499972598E-2</v>
      </c>
      <c r="T55" s="368">
        <f t="shared" si="17"/>
        <v>-0.81681375876895213</v>
      </c>
      <c r="U55" s="368">
        <f t="shared" si="17"/>
        <v>-0.27684391080617499</v>
      </c>
      <c r="V55" s="368"/>
      <c r="W55" s="369"/>
      <c r="X55" s="368"/>
      <c r="Y55" s="368"/>
      <c r="Z55" s="368"/>
      <c r="AA55" s="368"/>
      <c r="AB55" s="369"/>
      <c r="AC55" s="368"/>
      <c r="AD55" s="368"/>
      <c r="AE55" s="368"/>
      <c r="AF55" s="368"/>
      <c r="AG55" s="369"/>
      <c r="AH55" s="368"/>
      <c r="AI55" s="368"/>
      <c r="AJ55" s="368"/>
      <c r="AK55" s="368"/>
      <c r="AL55" s="369"/>
      <c r="AM55" s="368"/>
      <c r="AN55" s="368"/>
      <c r="AO55" s="368"/>
      <c r="AP55" s="368"/>
      <c r="AQ55" s="369"/>
      <c r="AR55" s="368"/>
      <c r="AS55" s="368"/>
      <c r="AT55" s="368"/>
      <c r="AU55" s="368"/>
      <c r="AV55" s="369"/>
    </row>
    <row r="56" spans="2:48" outlineLevel="1" x14ac:dyDescent="0.3">
      <c r="B56" s="213" t="s">
        <v>314</v>
      </c>
      <c r="C56" s="370"/>
      <c r="D56" s="367">
        <v>6.5041385860961587E-2</v>
      </c>
      <c r="E56" s="367">
        <v>6.5684517673924428E-2</v>
      </c>
      <c r="F56" s="113">
        <v>6.3769602814011436E-2</v>
      </c>
      <c r="G56" s="113">
        <v>7.7945753668297008E-2</v>
      </c>
      <c r="H56" s="371">
        <v>6.8151467825535855E-2</v>
      </c>
      <c r="I56" s="372">
        <v>5.555790393259219E-2</v>
      </c>
      <c r="J56" s="118">
        <v>6.0710175625865198E-2</v>
      </c>
      <c r="K56" s="118">
        <v>9.0026290234717338E-2</v>
      </c>
      <c r="L56" s="113">
        <v>5.5649594557559891E-2</v>
      </c>
      <c r="M56" s="373">
        <v>6.3083595543838744E-2</v>
      </c>
      <c r="N56" s="372">
        <v>4.8033899309568251E-2</v>
      </c>
      <c r="O56" s="118">
        <v>4.8545290941811634E-2</v>
      </c>
      <c r="P56" s="118">
        <v>4.5061028479957313E-2</v>
      </c>
      <c r="Q56" s="118">
        <v>5.9447383603176751E-2</v>
      </c>
      <c r="R56" s="373">
        <v>5.058395215515165E-2</v>
      </c>
      <c r="S56" s="372">
        <v>5.1773824903110409E-2</v>
      </c>
      <c r="T56" s="118">
        <v>5.9602388810309603E-2</v>
      </c>
      <c r="U56" s="118">
        <v>5.1962552606716499E-2</v>
      </c>
      <c r="V56" s="35"/>
      <c r="W56" s="374"/>
      <c r="X56" s="375"/>
      <c r="Y56" s="375"/>
      <c r="Z56" s="375"/>
      <c r="AA56" s="375"/>
      <c r="AB56" s="374"/>
      <c r="AC56" s="375"/>
      <c r="AD56" s="35"/>
      <c r="AE56" s="35"/>
      <c r="AF56" s="35"/>
      <c r="AG56" s="374"/>
      <c r="AH56" s="375"/>
      <c r="AI56" s="35"/>
      <c r="AJ56" s="35"/>
      <c r="AK56" s="35"/>
      <c r="AL56" s="374"/>
      <c r="AM56" s="375"/>
      <c r="AN56" s="35"/>
      <c r="AO56" s="35"/>
      <c r="AP56" s="35"/>
      <c r="AQ56" s="374"/>
      <c r="AR56" s="375"/>
      <c r="AS56" s="35"/>
      <c r="AT56" s="35"/>
      <c r="AU56" s="35"/>
      <c r="AV56" s="374"/>
    </row>
    <row r="57" spans="2:48" s="63" customFormat="1" x14ac:dyDescent="0.3">
      <c r="B57" s="376"/>
      <c r="C57" s="376"/>
      <c r="D57" s="377"/>
      <c r="E57" s="377"/>
      <c r="F57" s="377"/>
      <c r="G57" s="377"/>
      <c r="H57" s="378"/>
      <c r="I57" s="379"/>
      <c r="J57" s="379"/>
      <c r="K57" s="379"/>
      <c r="L57" s="379"/>
      <c r="M57" s="378"/>
      <c r="N57" s="379"/>
      <c r="O57" s="379"/>
      <c r="P57" s="379"/>
      <c r="Q57" s="379"/>
      <c r="R57" s="380"/>
      <c r="S57" s="379"/>
      <c r="T57" s="379"/>
      <c r="U57" s="379"/>
      <c r="V57" s="379"/>
      <c r="W57" s="378"/>
      <c r="X57" s="381"/>
      <c r="Y57" s="381"/>
      <c r="Z57" s="381"/>
      <c r="AA57" s="381"/>
      <c r="AB57" s="378"/>
      <c r="AC57" s="381"/>
      <c r="AD57" s="381"/>
      <c r="AE57" s="381"/>
      <c r="AF57" s="381"/>
      <c r="AG57" s="378"/>
      <c r="AH57" s="381"/>
      <c r="AI57" s="381"/>
      <c r="AJ57" s="381"/>
      <c r="AK57" s="381"/>
      <c r="AL57" s="378"/>
      <c r="AM57" s="381"/>
      <c r="AN57" s="381"/>
      <c r="AO57" s="381"/>
      <c r="AP57" s="381"/>
      <c r="AQ57" s="378"/>
      <c r="AR57" s="381"/>
      <c r="AS57" s="381"/>
      <c r="AT57" s="381"/>
      <c r="AU57" s="381"/>
      <c r="AV57" s="378"/>
    </row>
  </sheetData>
  <dataConsolidate/>
  <mergeCells count="27">
    <mergeCell ref="B51:C51"/>
    <mergeCell ref="B52:C52"/>
    <mergeCell ref="B55:C55"/>
    <mergeCell ref="B41:C41"/>
    <mergeCell ref="B42:C42"/>
    <mergeCell ref="B44:C44"/>
    <mergeCell ref="B48:C48"/>
    <mergeCell ref="B49:C49"/>
    <mergeCell ref="B50:C50"/>
    <mergeCell ref="B40:C40"/>
    <mergeCell ref="B21:C21"/>
    <mergeCell ref="B22:C22"/>
    <mergeCell ref="B23:C23"/>
    <mergeCell ref="B25:C25"/>
    <mergeCell ref="B26:C26"/>
    <mergeCell ref="B27:C27"/>
    <mergeCell ref="B28:C28"/>
    <mergeCell ref="B29:C29"/>
    <mergeCell ref="B36:C36"/>
    <mergeCell ref="B37:C37"/>
    <mergeCell ref="B39:C39"/>
    <mergeCell ref="B18:C18"/>
    <mergeCell ref="B3:C3"/>
    <mergeCell ref="B5:C5"/>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Income Statement &amp; Segments</vt:lpstr>
      <vt:lpstr>Balance Sheet</vt:lpstr>
      <vt:lpstr>Cash Flow Statement</vt:lpstr>
      <vt:lpstr>'Balance Sheet'!Print_Area</vt:lpstr>
      <vt:lpstr>'Cash Flow Statement'!Print_Area</vt:lpstr>
      <vt:lpstr>'Income Statement &amp; Segments'!Print_Area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2022-09-16T10:50:49Z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