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johnm\OneDrive\Documents\Gutenberg\19-Procrastinators guide to modeling\SBUX\Files to publish\"/>
    </mc:Choice>
  </mc:AlternateContent>
  <xr:revisionPtr revIDLastSave="0" documentId="13_ncr:1_{4FF99A31-3D1A-47C1-B026-1BCA0CB22FA6}" xr6:coauthVersionLast="47" xr6:coauthVersionMax="47" xr10:uidLastSave="{00000000-0000-0000-0000-000000000000}"/>
  <bookViews>
    <workbookView xWindow="-108" yWindow="-108" windowWidth="41496" windowHeight="16896" tabRatio="767" activeTab="2" xr2:uid="{00000000-000D-0000-FFFF-FFFF00000000}"/>
  </bookViews>
  <sheets>
    <sheet name="Income Statement &amp; Segments" sheetId="36" r:id="rId1"/>
    <sheet name="Balance Sheet" sheetId="38" r:id="rId2"/>
    <sheet name="Cash Flow Statement" sheetId="39" r:id="rId3"/>
    <sheet name="Valuation" sheetId="40" r:id="rId4"/>
  </sheets>
  <definedNames>
    <definedName name="DATA">#REF!</definedName>
    <definedName name="DATA2">#REF!</definedName>
    <definedName name="_xlnm.Print_Area" localSheetId="1">'Balance Sheet'!$B$3:$AB$56</definedName>
    <definedName name="_xlnm.Print_Area" localSheetId="2">'Cash Flow Statement'!$B$3:$AB$57</definedName>
    <definedName name="_xlnm.Print_Area" localSheetId="0">'Income Statement &amp; Segments'!$B$1:$AB$316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3" i="36" l="1"/>
  <c r="AF61" i="36"/>
  <c r="AC63" i="36"/>
  <c r="AC61" i="36"/>
  <c r="AD68" i="36"/>
  <c r="AC68" i="36"/>
  <c r="AL62" i="39"/>
  <c r="V117" i="36"/>
  <c r="X117" i="36" s="1"/>
  <c r="Y117" i="36" s="1"/>
  <c r="V129" i="36"/>
  <c r="V102" i="36"/>
  <c r="AF61" i="38" l="1"/>
  <c r="AF35" i="36"/>
  <c r="AA35" i="36"/>
  <c r="V35" i="36"/>
  <c r="AU51" i="38"/>
  <c r="AT51" i="38"/>
  <c r="AS51" i="38"/>
  <c r="AR51" i="38"/>
  <c r="AU49" i="38"/>
  <c r="AT49" i="38"/>
  <c r="AS49" i="38"/>
  <c r="AR49" i="38"/>
  <c r="AU47" i="38"/>
  <c r="AT47" i="38"/>
  <c r="AS47" i="38"/>
  <c r="AR47" i="38"/>
  <c r="AP51" i="38"/>
  <c r="AO51" i="38"/>
  <c r="AN51" i="38"/>
  <c r="AM51" i="38"/>
  <c r="AP49" i="38"/>
  <c r="AO49" i="38"/>
  <c r="AN49" i="38"/>
  <c r="AM49" i="38"/>
  <c r="AP47" i="38"/>
  <c r="AO47" i="38"/>
  <c r="AN47" i="38"/>
  <c r="AM47" i="38"/>
  <c r="AK51" i="38"/>
  <c r="AJ51" i="38"/>
  <c r="AI51" i="38"/>
  <c r="AH51" i="38"/>
  <c r="AK49" i="38"/>
  <c r="AJ49" i="38"/>
  <c r="AI49" i="38"/>
  <c r="AH49" i="38"/>
  <c r="AK47" i="38"/>
  <c r="AJ47" i="38"/>
  <c r="AI47" i="38"/>
  <c r="AH47" i="38"/>
  <c r="AF51" i="38"/>
  <c r="AE51" i="38"/>
  <c r="AD51" i="38"/>
  <c r="AC51" i="38"/>
  <c r="AF49" i="38"/>
  <c r="AE49" i="38"/>
  <c r="AD49" i="38"/>
  <c r="AC49" i="38"/>
  <c r="AF47" i="38"/>
  <c r="AE47" i="38"/>
  <c r="AD47" i="38"/>
  <c r="AC47" i="38"/>
  <c r="AA51" i="38"/>
  <c r="Z51" i="38"/>
  <c r="Y51" i="38"/>
  <c r="X51" i="38"/>
  <c r="AA49" i="38"/>
  <c r="Z49" i="38"/>
  <c r="Y49" i="38"/>
  <c r="X49" i="38"/>
  <c r="AA47" i="38"/>
  <c r="Z47" i="38"/>
  <c r="Y47" i="38"/>
  <c r="X47" i="38"/>
  <c r="V51" i="38"/>
  <c r="V49" i="38"/>
  <c r="V47" i="38"/>
  <c r="AF68" i="36"/>
  <c r="AL63" i="39"/>
  <c r="G37" i="36"/>
  <c r="L37" i="36"/>
  <c r="Q37" i="36"/>
  <c r="D57" i="39"/>
  <c r="AA63" i="36"/>
  <c r="Z63" i="36"/>
  <c r="V144" i="36"/>
  <c r="X144" i="36" s="1"/>
  <c r="Y144" i="36" s="1"/>
  <c r="Z144" i="36" s="1"/>
  <c r="AA144" i="36" s="1"/>
  <c r="AC144" i="36" s="1"/>
  <c r="AD144" i="36" s="1"/>
  <c r="AE144" i="36" s="1"/>
  <c r="AF144" i="36" s="1"/>
  <c r="AH144" i="36" s="1"/>
  <c r="AI144" i="36" s="1"/>
  <c r="AJ144" i="36" s="1"/>
  <c r="AK144" i="36" s="1"/>
  <c r="AM144" i="36" s="1"/>
  <c r="AN144" i="36" s="1"/>
  <c r="AO144" i="36" s="1"/>
  <c r="AP144" i="36" s="1"/>
  <c r="AR144" i="36" s="1"/>
  <c r="AS144" i="36" s="1"/>
  <c r="AT144" i="36" s="1"/>
  <c r="AU144" i="36" s="1"/>
  <c r="V145" i="36"/>
  <c r="X145" i="36" s="1"/>
  <c r="Y145" i="36" s="1"/>
  <c r="Z145" i="36" s="1"/>
  <c r="AA145" i="36" s="1"/>
  <c r="AC145" i="36" s="1"/>
  <c r="AD145" i="36" s="1"/>
  <c r="AE145" i="36" s="1"/>
  <c r="AF145" i="36" s="1"/>
  <c r="AH145" i="36" s="1"/>
  <c r="AI145" i="36" s="1"/>
  <c r="AJ145" i="36" s="1"/>
  <c r="AK145" i="36" s="1"/>
  <c r="AM145" i="36" s="1"/>
  <c r="AN145" i="36" s="1"/>
  <c r="AO145" i="36" s="1"/>
  <c r="AP145" i="36" s="1"/>
  <c r="AR145" i="36" s="1"/>
  <c r="AS145" i="36" s="1"/>
  <c r="AT145" i="36" s="1"/>
  <c r="AU145" i="36" s="1"/>
  <c r="AV66" i="38"/>
  <c r="AQ66" i="38"/>
  <c r="AL66" i="38"/>
  <c r="AG66" i="38"/>
  <c r="AB66" i="38"/>
  <c r="W66" i="38"/>
  <c r="W67" i="38"/>
  <c r="M67" i="38"/>
  <c r="R67" i="38"/>
  <c r="AK154" i="36" l="1"/>
  <c r="AJ61" i="38" s="1"/>
  <c r="AH34" i="39"/>
  <c r="V68" i="36"/>
  <c r="AA68" i="36" s="1"/>
  <c r="AK68" i="36" s="1"/>
  <c r="V63" i="36"/>
  <c r="V176" i="36" s="1"/>
  <c r="V61" i="36"/>
  <c r="V175" i="36" s="1"/>
  <c r="V69" i="36"/>
  <c r="X69" i="36" s="1"/>
  <c r="Y69" i="36" s="1"/>
  <c r="Y176" i="36"/>
  <c r="Y63" i="36"/>
  <c r="X63" i="36"/>
  <c r="AJ68" i="36"/>
  <c r="AI68" i="36"/>
  <c r="AI178" i="36" s="1"/>
  <c r="AH68" i="36"/>
  <c r="AM68" i="36" s="1"/>
  <c r="AR68" i="36" s="1"/>
  <c r="AH65" i="36"/>
  <c r="AI65" i="36"/>
  <c r="AJ65" i="36"/>
  <c r="AK65" i="36"/>
  <c r="AK177" i="36"/>
  <c r="AO65" i="36"/>
  <c r="AT65" i="36" s="1"/>
  <c r="AN65" i="36"/>
  <c r="AS65" i="36" s="1"/>
  <c r="AH177" i="36"/>
  <c r="AI63" i="36"/>
  <c r="AH63" i="36"/>
  <c r="AM63" i="36" s="1"/>
  <c r="AR63" i="36" s="1"/>
  <c r="AJ61" i="36"/>
  <c r="AO61" i="36" s="1"/>
  <c r="AT61" i="36" s="1"/>
  <c r="AI61" i="36"/>
  <c r="AI175" i="36" s="1"/>
  <c r="AH61" i="36"/>
  <c r="AE68" i="36"/>
  <c r="AD178" i="36"/>
  <c r="AE63" i="36"/>
  <c r="AE176" i="36" s="1"/>
  <c r="AD63" i="36"/>
  <c r="AD176" i="36" s="1"/>
  <c r="AC176" i="36"/>
  <c r="AE61" i="36"/>
  <c r="AD61" i="36"/>
  <c r="AC175" i="36"/>
  <c r="AO68" i="36"/>
  <c r="AT68" i="36" s="1"/>
  <c r="AF65" i="36"/>
  <c r="AF177" i="36" s="1"/>
  <c r="AE65" i="36"/>
  <c r="AE177" i="36" s="1"/>
  <c r="AD65" i="36"/>
  <c r="AD177" i="36" s="1"/>
  <c r="AC65" i="36"/>
  <c r="AC177" i="36" s="1"/>
  <c r="AD175" i="36"/>
  <c r="AE175" i="36"/>
  <c r="AC178" i="36"/>
  <c r="AE178" i="36"/>
  <c r="Z68" i="36"/>
  <c r="Z178" i="36" s="1"/>
  <c r="Y68" i="36"/>
  <c r="Y178" i="36" s="1"/>
  <c r="Y61" i="36"/>
  <c r="Y175" i="36" s="1"/>
  <c r="X61" i="36"/>
  <c r="X175" i="36" s="1"/>
  <c r="X176" i="36"/>
  <c r="X68" i="36"/>
  <c r="X178" i="36" s="1"/>
  <c r="Z61" i="36"/>
  <c r="Z175" i="36" s="1"/>
  <c r="X65" i="36"/>
  <c r="AA65" i="36"/>
  <c r="Z65" i="36"/>
  <c r="Y65" i="36"/>
  <c r="Z176" i="36"/>
  <c r="V177" i="36"/>
  <c r="X177" i="36"/>
  <c r="Y177" i="36"/>
  <c r="Z177" i="36"/>
  <c r="AA177" i="36"/>
  <c r="Q176" i="36"/>
  <c r="S176" i="36"/>
  <c r="T176" i="36"/>
  <c r="Q177" i="36"/>
  <c r="S177" i="36"/>
  <c r="T177" i="36"/>
  <c r="Q178" i="36"/>
  <c r="S178" i="36"/>
  <c r="T178" i="36"/>
  <c r="U178" i="36"/>
  <c r="U176" i="36"/>
  <c r="U177" i="36"/>
  <c r="U175" i="36"/>
  <c r="Q175" i="36"/>
  <c r="S175" i="36"/>
  <c r="T175" i="36"/>
  <c r="AD56" i="39"/>
  <c r="AE56" i="39" s="1"/>
  <c r="AF56" i="39" s="1"/>
  <c r="Y56" i="39"/>
  <c r="Z56" i="39" s="1"/>
  <c r="AA56" i="39" s="1"/>
  <c r="R45" i="36"/>
  <c r="U54" i="39"/>
  <c r="T54" i="39"/>
  <c r="S54" i="39"/>
  <c r="R54" i="39"/>
  <c r="Q54" i="39"/>
  <c r="P54" i="39"/>
  <c r="O54" i="39"/>
  <c r="N54" i="39"/>
  <c r="M54" i="39"/>
  <c r="L54" i="39"/>
  <c r="K54" i="39"/>
  <c r="J54" i="39"/>
  <c r="I54" i="39"/>
  <c r="H54" i="39"/>
  <c r="G54" i="39"/>
  <c r="F54" i="39"/>
  <c r="E54" i="39"/>
  <c r="AU34" i="39"/>
  <c r="AT34" i="39"/>
  <c r="AS34" i="39"/>
  <c r="AR34" i="39"/>
  <c r="AP34" i="39"/>
  <c r="AO34" i="39"/>
  <c r="AN34" i="39"/>
  <c r="AM34" i="39"/>
  <c r="AD34" i="39"/>
  <c r="AC34" i="39"/>
  <c r="AA34" i="39"/>
  <c r="Z34" i="39"/>
  <c r="Y34" i="39"/>
  <c r="X34" i="39"/>
  <c r="AE34" i="39" l="1"/>
  <c r="AF34" i="39"/>
  <c r="AJ63" i="36"/>
  <c r="AO63" i="36" s="1"/>
  <c r="AT63" i="36" s="1"/>
  <c r="AA61" i="36"/>
  <c r="AK61" i="36" s="1"/>
  <c r="AP61" i="36" s="1"/>
  <c r="AU61" i="36" s="1"/>
  <c r="AH178" i="36"/>
  <c r="AP65" i="36"/>
  <c r="AU65" i="36" s="1"/>
  <c r="AI177" i="36"/>
  <c r="AJ177" i="36"/>
  <c r="AM65" i="36"/>
  <c r="AR65" i="36" s="1"/>
  <c r="AH176" i="36"/>
  <c r="AF178" i="36"/>
  <c r="AK178" i="36"/>
  <c r="AA178" i="36"/>
  <c r="AJ178" i="36"/>
  <c r="AN68" i="36"/>
  <c r="AS68" i="36" s="1"/>
  <c r="AN61" i="36"/>
  <c r="AS61" i="36" s="1"/>
  <c r="AJ175" i="36"/>
  <c r="V178" i="36"/>
  <c r="E57" i="39"/>
  <c r="F57" i="39"/>
  <c r="G57" i="39"/>
  <c r="H57" i="39"/>
  <c r="I57" i="39"/>
  <c r="J57" i="39"/>
  <c r="K57" i="39"/>
  <c r="L57" i="39"/>
  <c r="M57" i="39"/>
  <c r="N57" i="39"/>
  <c r="O57" i="39"/>
  <c r="P57" i="39"/>
  <c r="Q57" i="39"/>
  <c r="R57" i="39"/>
  <c r="S57" i="39"/>
  <c r="T57" i="39"/>
  <c r="U57" i="39"/>
  <c r="AI34" i="39" l="1"/>
  <c r="AJ176" i="36"/>
  <c r="AA175" i="36"/>
  <c r="AF175" i="36"/>
  <c r="AF176" i="36"/>
  <c r="AK63" i="36"/>
  <c r="AA176" i="36"/>
  <c r="AK175" i="36"/>
  <c r="AP68" i="36"/>
  <c r="AU68" i="36" s="1"/>
  <c r="AI176" i="36"/>
  <c r="AN63" i="36"/>
  <c r="AS63" i="36" s="1"/>
  <c r="AH175" i="36"/>
  <c r="AM61" i="36"/>
  <c r="AR61" i="36" s="1"/>
  <c r="V16" i="38"/>
  <c r="V27" i="38"/>
  <c r="AJ34" i="39" l="1"/>
  <c r="AK176" i="36"/>
  <c r="AP63" i="36"/>
  <c r="AU63" i="36" s="1"/>
  <c r="F145" i="36"/>
  <c r="E145" i="36"/>
  <c r="L145" i="36"/>
  <c r="K145" i="36"/>
  <c r="J145" i="36"/>
  <c r="I145" i="36"/>
  <c r="N145" i="36"/>
  <c r="S145" i="36"/>
  <c r="Q145" i="36"/>
  <c r="P145" i="36"/>
  <c r="O145" i="36"/>
  <c r="T145" i="36"/>
  <c r="U145" i="36"/>
  <c r="AK34" i="39" l="1"/>
  <c r="V22" i="36"/>
  <c r="AI56" i="39"/>
  <c r="AJ56" i="39" s="1"/>
  <c r="AK56" i="39" s="1"/>
  <c r="D54" i="39"/>
  <c r="T47" i="39"/>
  <c r="Q47" i="39"/>
  <c r="P47" i="39"/>
  <c r="O47" i="39"/>
  <c r="G47" i="39"/>
  <c r="F47" i="39"/>
  <c r="D47" i="39"/>
  <c r="H40" i="39"/>
  <c r="AV38" i="39"/>
  <c r="AQ38" i="39"/>
  <c r="AL38" i="39"/>
  <c r="AG38" i="39"/>
  <c r="AB38" i="39"/>
  <c r="U38" i="39"/>
  <c r="W38" i="39" s="1"/>
  <c r="T38" i="39"/>
  <c r="O38" i="39"/>
  <c r="J38" i="39"/>
  <c r="E38" i="39"/>
  <c r="F38" i="39" s="1"/>
  <c r="G38" i="39" s="1"/>
  <c r="D38" i="39"/>
  <c r="H38" i="39" s="1"/>
  <c r="S37" i="39"/>
  <c r="D37" i="39"/>
  <c r="AV36" i="39"/>
  <c r="AQ36" i="39"/>
  <c r="AL36" i="39"/>
  <c r="AG36" i="39"/>
  <c r="AB36" i="39"/>
  <c r="T36" i="39"/>
  <c r="P36" i="39"/>
  <c r="O36" i="39"/>
  <c r="J36" i="39"/>
  <c r="E36" i="39"/>
  <c r="T35" i="39"/>
  <c r="O35" i="39"/>
  <c r="J35" i="39"/>
  <c r="E35" i="39"/>
  <c r="AQ34" i="39"/>
  <c r="U34" i="39"/>
  <c r="T34" i="39"/>
  <c r="O34" i="39"/>
  <c r="O37" i="39" s="1"/>
  <c r="K34" i="39"/>
  <c r="L34" i="39" s="1"/>
  <c r="J34" i="39"/>
  <c r="M34" i="39" s="1"/>
  <c r="G34" i="39"/>
  <c r="E34" i="39"/>
  <c r="F34" i="39" s="1"/>
  <c r="T33" i="39"/>
  <c r="O33" i="39"/>
  <c r="P33" i="39" s="1"/>
  <c r="Q33" i="39" s="1"/>
  <c r="J33" i="39"/>
  <c r="E33" i="39"/>
  <c r="AV32" i="39"/>
  <c r="AQ32" i="39"/>
  <c r="AL32" i="39"/>
  <c r="AG32" i="39"/>
  <c r="AB32" i="39"/>
  <c r="T32" i="39"/>
  <c r="O32" i="39"/>
  <c r="J32" i="39"/>
  <c r="E32" i="39"/>
  <c r="AV31" i="39"/>
  <c r="AQ31" i="39"/>
  <c r="AL31" i="39"/>
  <c r="AG31" i="39"/>
  <c r="AB31" i="39"/>
  <c r="T31" i="39"/>
  <c r="O31" i="39"/>
  <c r="I31" i="39"/>
  <c r="G31" i="39"/>
  <c r="H31" i="39" s="1"/>
  <c r="AV30" i="39"/>
  <c r="AQ30" i="39"/>
  <c r="AL30" i="39"/>
  <c r="AG30" i="39"/>
  <c r="AB30" i="39"/>
  <c r="U30" i="39"/>
  <c r="W30" i="39" s="1"/>
  <c r="O30" i="39"/>
  <c r="P30" i="39" s="1"/>
  <c r="N30" i="39"/>
  <c r="L30" i="39"/>
  <c r="M30" i="39" s="1"/>
  <c r="J30" i="39"/>
  <c r="G30" i="39"/>
  <c r="F30" i="39"/>
  <c r="H30" i="39" s="1"/>
  <c r="U29" i="39"/>
  <c r="T29" i="39"/>
  <c r="T37" i="39" s="1"/>
  <c r="Q29" i="39"/>
  <c r="P29" i="39"/>
  <c r="O29" i="39"/>
  <c r="R29" i="39" s="1"/>
  <c r="J29" i="39"/>
  <c r="E29" i="39"/>
  <c r="E37" i="39" s="1"/>
  <c r="N27" i="39"/>
  <c r="U26" i="39"/>
  <c r="T26" i="39"/>
  <c r="O26" i="39"/>
  <c r="P26" i="39" s="1"/>
  <c r="J26" i="39"/>
  <c r="E26" i="39"/>
  <c r="F26" i="39" s="1"/>
  <c r="G26" i="39" s="1"/>
  <c r="T25" i="39"/>
  <c r="O25" i="39"/>
  <c r="K25" i="39"/>
  <c r="L25" i="39" s="1"/>
  <c r="J25" i="39"/>
  <c r="E25" i="39"/>
  <c r="S24" i="39"/>
  <c r="T24" i="39" s="1"/>
  <c r="N24" i="39"/>
  <c r="I24" i="39"/>
  <c r="J24" i="39" s="1"/>
  <c r="D24" i="39"/>
  <c r="E24" i="39" s="1"/>
  <c r="S21" i="39"/>
  <c r="T21" i="39" s="1"/>
  <c r="U21" i="39" s="1"/>
  <c r="N21" i="39"/>
  <c r="O21" i="39" s="1"/>
  <c r="J21" i="39"/>
  <c r="K21" i="39" s="1"/>
  <c r="L21" i="39" s="1"/>
  <c r="I21" i="39"/>
  <c r="M21" i="39" s="1"/>
  <c r="G21" i="39"/>
  <c r="H21" i="39" s="1"/>
  <c r="F21" i="39"/>
  <c r="E21" i="39"/>
  <c r="T20" i="39"/>
  <c r="O20" i="39"/>
  <c r="P20" i="39" s="1"/>
  <c r="K20" i="39"/>
  <c r="J20" i="39"/>
  <c r="F20" i="39"/>
  <c r="U19" i="39"/>
  <c r="T19" i="39"/>
  <c r="O19" i="39"/>
  <c r="J19" i="39"/>
  <c r="E19" i="39"/>
  <c r="F19" i="39" s="1"/>
  <c r="G19" i="39" s="1"/>
  <c r="T18" i="39"/>
  <c r="U18" i="39" s="1"/>
  <c r="O18" i="39"/>
  <c r="J18" i="39"/>
  <c r="F18" i="39"/>
  <c r="G18" i="39" s="1"/>
  <c r="E18" i="39"/>
  <c r="H18" i="39" s="1"/>
  <c r="S17" i="39"/>
  <c r="P17" i="39"/>
  <c r="Q17" i="39" s="1"/>
  <c r="O17" i="39"/>
  <c r="J17" i="39"/>
  <c r="K17" i="39" s="1"/>
  <c r="E17" i="39"/>
  <c r="T16" i="39"/>
  <c r="U16" i="39" s="1"/>
  <c r="O16" i="39"/>
  <c r="J16" i="39"/>
  <c r="E16" i="39"/>
  <c r="T15" i="39"/>
  <c r="P15" i="39"/>
  <c r="Q15" i="39" s="1"/>
  <c r="O15" i="39"/>
  <c r="J15" i="39"/>
  <c r="E15" i="39"/>
  <c r="AV13" i="39"/>
  <c r="AQ13" i="39"/>
  <c r="AL13" i="39"/>
  <c r="AG13" i="39"/>
  <c r="AB13" i="39"/>
  <c r="U13" i="39"/>
  <c r="T13" i="39"/>
  <c r="O13" i="39"/>
  <c r="P13" i="39" s="1"/>
  <c r="Q13" i="39" s="1"/>
  <c r="N13" i="39"/>
  <c r="R13" i="39" s="1"/>
  <c r="J13" i="39"/>
  <c r="K13" i="39" s="1"/>
  <c r="L13" i="39" s="1"/>
  <c r="I13" i="39"/>
  <c r="M13" i="39" s="1"/>
  <c r="F13" i="39"/>
  <c r="G13" i="39" s="1"/>
  <c r="E13" i="39"/>
  <c r="H13" i="39" s="1"/>
  <c r="T12" i="39"/>
  <c r="O12" i="39"/>
  <c r="J12" i="39"/>
  <c r="K12" i="39" s="1"/>
  <c r="E12" i="39"/>
  <c r="F12" i="39" s="1"/>
  <c r="AV11" i="39"/>
  <c r="AQ11" i="39"/>
  <c r="T11" i="39"/>
  <c r="J11" i="39"/>
  <c r="F11" i="39"/>
  <c r="E11" i="39"/>
  <c r="U10" i="39"/>
  <c r="T10" i="39"/>
  <c r="O10" i="39"/>
  <c r="P10" i="39" s="1"/>
  <c r="J10" i="39"/>
  <c r="E10" i="39"/>
  <c r="F10" i="39" s="1"/>
  <c r="G10" i="39" s="1"/>
  <c r="T9" i="39"/>
  <c r="O9" i="39"/>
  <c r="J9" i="39"/>
  <c r="E9" i="39"/>
  <c r="F9" i="39" s="1"/>
  <c r="G9" i="39" s="1"/>
  <c r="T8" i="39"/>
  <c r="O8" i="39"/>
  <c r="J8" i="39"/>
  <c r="E8" i="39"/>
  <c r="U7" i="39"/>
  <c r="T7" i="39"/>
  <c r="O7" i="39"/>
  <c r="J7" i="39"/>
  <c r="E7" i="39"/>
  <c r="S22" i="39"/>
  <c r="N22" i="39"/>
  <c r="I22" i="39"/>
  <c r="D22" i="39"/>
  <c r="U63" i="38"/>
  <c r="T63" i="38"/>
  <c r="Q63" i="38"/>
  <c r="P63" i="38"/>
  <c r="O63" i="38"/>
  <c r="G63" i="38"/>
  <c r="F63" i="38"/>
  <c r="D63" i="38"/>
  <c r="G62" i="38"/>
  <c r="F62" i="38"/>
  <c r="AU60" i="38"/>
  <c r="AR60" i="38" s="1"/>
  <c r="AT60" i="38"/>
  <c r="AS60" i="38"/>
  <c r="AP60" i="38"/>
  <c r="AO60" i="38"/>
  <c r="AN60" i="38"/>
  <c r="AM60" i="38"/>
  <c r="AK60" i="38"/>
  <c r="AJ60" i="38"/>
  <c r="AI60" i="38"/>
  <c r="AH60" i="38"/>
  <c r="AF60" i="38"/>
  <c r="AE60" i="38"/>
  <c r="AD60" i="38"/>
  <c r="AC60" i="38"/>
  <c r="AA60" i="38"/>
  <c r="Y60" i="38"/>
  <c r="X60" i="38"/>
  <c r="V60" i="38"/>
  <c r="AD59" i="38"/>
  <c r="Z60" i="38" s="1"/>
  <c r="U56" i="38"/>
  <c r="T56" i="38"/>
  <c r="S56" i="38"/>
  <c r="N56" i="38"/>
  <c r="J56" i="38"/>
  <c r="I56" i="38"/>
  <c r="X55" i="38"/>
  <c r="U55" i="38"/>
  <c r="T55" i="38"/>
  <c r="S55" i="38"/>
  <c r="Q55" i="38"/>
  <c r="V55" i="38" s="1"/>
  <c r="P55" i="38"/>
  <c r="O55" i="38"/>
  <c r="N55" i="38"/>
  <c r="L55" i="38"/>
  <c r="K55" i="38"/>
  <c r="J55" i="38"/>
  <c r="I55" i="38"/>
  <c r="G55" i="38"/>
  <c r="F55" i="38"/>
  <c r="E55" i="38"/>
  <c r="D55" i="38"/>
  <c r="U54" i="38"/>
  <c r="T54" i="38"/>
  <c r="S54" i="38"/>
  <c r="X54" i="38" s="1"/>
  <c r="Q54" i="38"/>
  <c r="V54" i="38" s="1"/>
  <c r="P54" i="38"/>
  <c r="O54" i="38"/>
  <c r="N54" i="38"/>
  <c r="L54" i="38"/>
  <c r="K54" i="38"/>
  <c r="J54" i="38"/>
  <c r="I54" i="38"/>
  <c r="G54" i="38"/>
  <c r="F54" i="38"/>
  <c r="E54" i="38"/>
  <c r="D54" i="38"/>
  <c r="X52" i="38"/>
  <c r="V52" i="38"/>
  <c r="I52" i="38"/>
  <c r="G52" i="38"/>
  <c r="E52" i="38"/>
  <c r="D52" i="38"/>
  <c r="AH50" i="38"/>
  <c r="N50" i="38"/>
  <c r="L50" i="38"/>
  <c r="E48" i="38"/>
  <c r="V48" i="38"/>
  <c r="K48" i="38"/>
  <c r="J48" i="38"/>
  <c r="I48" i="38"/>
  <c r="G48" i="38"/>
  <c r="F48" i="38"/>
  <c r="D48" i="38"/>
  <c r="AU46" i="38"/>
  <c r="AT46" i="38"/>
  <c r="AS46" i="38"/>
  <c r="AR46" i="38"/>
  <c r="AP46" i="38"/>
  <c r="AO46" i="38"/>
  <c r="AN46" i="38"/>
  <c r="AM46" i="38"/>
  <c r="AK46" i="38"/>
  <c r="AJ46" i="38"/>
  <c r="AI46" i="38"/>
  <c r="AH46" i="38"/>
  <c r="AF46" i="38"/>
  <c r="AE46" i="38"/>
  <c r="AD46" i="38"/>
  <c r="AC46" i="38"/>
  <c r="AA46" i="38"/>
  <c r="Z46" i="38"/>
  <c r="Z50" i="38" s="1"/>
  <c r="Y46" i="38"/>
  <c r="X46" i="38"/>
  <c r="V46" i="38"/>
  <c r="U46" i="38"/>
  <c r="T46" i="38"/>
  <c r="S46" i="38"/>
  <c r="S52" i="38" s="1"/>
  <c r="Q46" i="38"/>
  <c r="Q52" i="38" s="1"/>
  <c r="P46" i="38"/>
  <c r="P52" i="38" s="1"/>
  <c r="O46" i="38"/>
  <c r="O52" i="38" s="1"/>
  <c r="N46" i="38"/>
  <c r="L46" i="38"/>
  <c r="K46" i="38"/>
  <c r="J46" i="38"/>
  <c r="J50" i="38" s="1"/>
  <c r="I46" i="38"/>
  <c r="I50" i="38" s="1"/>
  <c r="G46" i="38"/>
  <c r="G50" i="38" s="1"/>
  <c r="F46" i="38"/>
  <c r="F50" i="38" s="1"/>
  <c r="E46" i="38"/>
  <c r="E50" i="38" s="1"/>
  <c r="D46" i="38"/>
  <c r="D50" i="38" s="1"/>
  <c r="U41" i="38"/>
  <c r="T41" i="38"/>
  <c r="S41" i="38"/>
  <c r="R41" i="38"/>
  <c r="G41" i="38"/>
  <c r="G42" i="38" s="1"/>
  <c r="F41" i="38"/>
  <c r="E41" i="38"/>
  <c r="D41" i="38"/>
  <c r="D42" i="38" s="1"/>
  <c r="X40" i="38"/>
  <c r="Y40" i="38" s="1"/>
  <c r="Z40" i="38" s="1"/>
  <c r="AA40" i="38" s="1"/>
  <c r="W40" i="38"/>
  <c r="V40" i="38"/>
  <c r="R40" i="38"/>
  <c r="M40" i="38"/>
  <c r="H40" i="38"/>
  <c r="AD39" i="38"/>
  <c r="AE39" i="38" s="1"/>
  <c r="AF39" i="38" s="1"/>
  <c r="AC39" i="38"/>
  <c r="V39" i="38"/>
  <c r="X39" i="38" s="1"/>
  <c r="Y39" i="38" s="1"/>
  <c r="Z39" i="38" s="1"/>
  <c r="AA39" i="38" s="1"/>
  <c r="AB39" i="38" s="1"/>
  <c r="R39" i="38"/>
  <c r="M39" i="38"/>
  <c r="H39" i="38"/>
  <c r="R38" i="38"/>
  <c r="M38" i="38"/>
  <c r="H38" i="38"/>
  <c r="U37" i="38"/>
  <c r="T37" i="38"/>
  <c r="S37" i="38"/>
  <c r="R37" i="38"/>
  <c r="Q37" i="38"/>
  <c r="Q41" i="38" s="1"/>
  <c r="P37" i="38"/>
  <c r="P41" i="38" s="1"/>
  <c r="O37" i="38"/>
  <c r="O41" i="38" s="1"/>
  <c r="N37" i="38"/>
  <c r="N41" i="38" s="1"/>
  <c r="M37" i="38"/>
  <c r="M41" i="38" s="1"/>
  <c r="L37" i="38"/>
  <c r="L41" i="38" s="1"/>
  <c r="K37" i="38"/>
  <c r="K41" i="38" s="1"/>
  <c r="K42" i="38" s="1"/>
  <c r="J37" i="38"/>
  <c r="J41" i="38" s="1"/>
  <c r="I37" i="38"/>
  <c r="I41" i="38" s="1"/>
  <c r="G37" i="38"/>
  <c r="H37" i="38" s="1"/>
  <c r="H41" i="38" s="1"/>
  <c r="F37" i="38"/>
  <c r="E37" i="38"/>
  <c r="D37" i="38"/>
  <c r="O35" i="38"/>
  <c r="G35" i="38"/>
  <c r="F35" i="38"/>
  <c r="F42" i="38" s="1"/>
  <c r="X34" i="38"/>
  <c r="Y34" i="38" s="1"/>
  <c r="Z34" i="38" s="1"/>
  <c r="AA34" i="38" s="1"/>
  <c r="W34" i="38"/>
  <c r="V34" i="38"/>
  <c r="R34" i="38"/>
  <c r="M34" i="38"/>
  <c r="H34" i="38"/>
  <c r="V33" i="38"/>
  <c r="X33" i="38" s="1"/>
  <c r="Y33" i="38" s="1"/>
  <c r="Z33" i="38" s="1"/>
  <c r="AA33" i="38" s="1"/>
  <c r="R33" i="38"/>
  <c r="M33" i="38"/>
  <c r="H33" i="38"/>
  <c r="X32" i="38"/>
  <c r="Y32" i="38" s="1"/>
  <c r="Z32" i="38" s="1"/>
  <c r="AA32" i="38" s="1"/>
  <c r="W32" i="38"/>
  <c r="V32" i="38"/>
  <c r="R32" i="38"/>
  <c r="M32" i="38"/>
  <c r="H32" i="38"/>
  <c r="V31" i="38"/>
  <c r="X31" i="38" s="1"/>
  <c r="Y31" i="38" s="1"/>
  <c r="R31" i="38"/>
  <c r="M31" i="38"/>
  <c r="H31" i="38"/>
  <c r="T30" i="38"/>
  <c r="T35" i="38" s="1"/>
  <c r="S30" i="38"/>
  <c r="S35" i="38" s="1"/>
  <c r="Q30" i="38"/>
  <c r="Q35" i="38" s="1"/>
  <c r="P30" i="38"/>
  <c r="P35" i="38" s="1"/>
  <c r="O30" i="38"/>
  <c r="L30" i="38"/>
  <c r="L35" i="38" s="1"/>
  <c r="K30" i="38"/>
  <c r="K35" i="38" s="1"/>
  <c r="G30" i="38"/>
  <c r="F30" i="38"/>
  <c r="D30" i="38"/>
  <c r="D35" i="38" s="1"/>
  <c r="AV29" i="38"/>
  <c r="AQ29" i="38"/>
  <c r="AL29" i="38"/>
  <c r="AG29" i="38"/>
  <c r="AB29" i="38"/>
  <c r="W29" i="38"/>
  <c r="R29" i="38"/>
  <c r="M29" i="38"/>
  <c r="H29" i="38"/>
  <c r="V28" i="38"/>
  <c r="V63" i="38" s="1"/>
  <c r="U28" i="38"/>
  <c r="U47" i="39" s="1"/>
  <c r="S28" i="38"/>
  <c r="S47" i="39" s="1"/>
  <c r="R28" i="38"/>
  <c r="R47" i="39" s="1"/>
  <c r="N28" i="38"/>
  <c r="M28" i="38"/>
  <c r="L28" i="38"/>
  <c r="L47" i="39" s="1"/>
  <c r="K28" i="38"/>
  <c r="K47" i="39" s="1"/>
  <c r="J28" i="38"/>
  <c r="J47" i="39" s="1"/>
  <c r="I28" i="38"/>
  <c r="I47" i="39" s="1"/>
  <c r="H28" i="38"/>
  <c r="H47" i="39" s="1"/>
  <c r="E28" i="38"/>
  <c r="E47" i="39" s="1"/>
  <c r="X27" i="38"/>
  <c r="X19" i="39" s="1"/>
  <c r="W27" i="38"/>
  <c r="V19" i="39"/>
  <c r="R27" i="38"/>
  <c r="M27" i="38"/>
  <c r="H27" i="38"/>
  <c r="Z26" i="38"/>
  <c r="AA26" i="38" s="1"/>
  <c r="W26" i="38"/>
  <c r="V26" i="38"/>
  <c r="X26" i="38" s="1"/>
  <c r="Y26" i="38" s="1"/>
  <c r="R26" i="38"/>
  <c r="M26" i="38"/>
  <c r="H26" i="38"/>
  <c r="U25" i="38"/>
  <c r="T25" i="38"/>
  <c r="R25" i="38"/>
  <c r="M25" i="38"/>
  <c r="H25" i="38"/>
  <c r="X24" i="38"/>
  <c r="Y24" i="38" s="1"/>
  <c r="Z24" i="38" s="1"/>
  <c r="AA24" i="38" s="1"/>
  <c r="AC24" i="38" s="1"/>
  <c r="AD24" i="38" s="1"/>
  <c r="AE24" i="38" s="1"/>
  <c r="AF24" i="38" s="1"/>
  <c r="W24" i="38"/>
  <c r="V24" i="38"/>
  <c r="R24" i="38"/>
  <c r="M24" i="38"/>
  <c r="H24" i="38"/>
  <c r="V23" i="38"/>
  <c r="R23" i="38"/>
  <c r="M23" i="38"/>
  <c r="H23" i="38"/>
  <c r="R22" i="38"/>
  <c r="M22" i="38"/>
  <c r="H22" i="38"/>
  <c r="V19" i="38"/>
  <c r="X19" i="38" s="1"/>
  <c r="Y19" i="38" s="1"/>
  <c r="Z19" i="38" s="1"/>
  <c r="AA19" i="38" s="1"/>
  <c r="R19" i="38"/>
  <c r="M19" i="38"/>
  <c r="H19" i="38"/>
  <c r="Z18" i="38"/>
  <c r="AA18" i="38" s="1"/>
  <c r="Y18" i="38"/>
  <c r="X18" i="38"/>
  <c r="W18" i="38"/>
  <c r="V18" i="38"/>
  <c r="R18" i="38"/>
  <c r="M18" i="38"/>
  <c r="H18" i="38"/>
  <c r="R17" i="38"/>
  <c r="M17" i="38"/>
  <c r="H17" i="38"/>
  <c r="R16" i="38"/>
  <c r="M16" i="38"/>
  <c r="H16" i="38"/>
  <c r="H55" i="38" s="1"/>
  <c r="W15" i="38"/>
  <c r="V15" i="38"/>
  <c r="X15" i="38" s="1"/>
  <c r="Y15" i="38" s="1"/>
  <c r="Z15" i="38" s="1"/>
  <c r="AA15" i="38" s="1"/>
  <c r="R15" i="38"/>
  <c r="M15" i="38"/>
  <c r="H15" i="38"/>
  <c r="R14" i="38"/>
  <c r="M14" i="38"/>
  <c r="H14" i="38"/>
  <c r="W13" i="38"/>
  <c r="V13" i="38"/>
  <c r="R13" i="38"/>
  <c r="M13" i="38"/>
  <c r="H13" i="38"/>
  <c r="R12" i="38"/>
  <c r="M12" i="38"/>
  <c r="H12" i="38"/>
  <c r="X10" i="38"/>
  <c r="X17" i="39" s="1"/>
  <c r="W10" i="38"/>
  <c r="V10" i="38"/>
  <c r="V17" i="39" s="1"/>
  <c r="R10" i="38"/>
  <c r="M10" i="38"/>
  <c r="H10" i="38"/>
  <c r="R9" i="38"/>
  <c r="M9" i="38"/>
  <c r="H9" i="38"/>
  <c r="R8" i="38"/>
  <c r="M8" i="38"/>
  <c r="H8" i="38"/>
  <c r="R7" i="38"/>
  <c r="M7" i="38"/>
  <c r="H7" i="38"/>
  <c r="H54" i="38" s="1"/>
  <c r="AL34" i="39" l="1"/>
  <c r="AT50" i="38"/>
  <c r="N55" i="39"/>
  <c r="N148" i="36" s="1"/>
  <c r="I55" i="39"/>
  <c r="I148" i="36" s="1"/>
  <c r="S55" i="39"/>
  <c r="S148" i="36" s="1"/>
  <c r="X22" i="36"/>
  <c r="AC50" i="38"/>
  <c r="AG11" i="39"/>
  <c r="K50" i="38"/>
  <c r="AL11" i="39"/>
  <c r="T52" i="38"/>
  <c r="J22" i="39"/>
  <c r="U52" i="38"/>
  <c r="Z52" i="38"/>
  <c r="N37" i="39"/>
  <c r="X50" i="38"/>
  <c r="AA50" i="38"/>
  <c r="AE50" i="38"/>
  <c r="X48" i="38"/>
  <c r="AR50" i="38"/>
  <c r="AF50" i="38"/>
  <c r="AV34" i="39"/>
  <c r="AB34" i="39"/>
  <c r="AG34" i="39"/>
  <c r="V50" i="38"/>
  <c r="AB11" i="39"/>
  <c r="V8" i="39"/>
  <c r="W16" i="38"/>
  <c r="AC19" i="38"/>
  <c r="AD19" i="38" s="1"/>
  <c r="AE19" i="38" s="1"/>
  <c r="AF19" i="38" s="1"/>
  <c r="AB19" i="38"/>
  <c r="AC18" i="38"/>
  <c r="AD18" i="38" s="1"/>
  <c r="AE18" i="38" s="1"/>
  <c r="AF18" i="38" s="1"/>
  <c r="AB18" i="38"/>
  <c r="AC15" i="38"/>
  <c r="AD15" i="38" s="1"/>
  <c r="AE15" i="38" s="1"/>
  <c r="AF15" i="38" s="1"/>
  <c r="AB15" i="38"/>
  <c r="AC48" i="38"/>
  <c r="S42" i="38"/>
  <c r="Y55" i="38"/>
  <c r="T42" i="38"/>
  <c r="AC32" i="38"/>
  <c r="AD32" i="38" s="1"/>
  <c r="AE32" i="38" s="1"/>
  <c r="AF32" i="38" s="1"/>
  <c r="AB32" i="38"/>
  <c r="AC34" i="38"/>
  <c r="AD34" i="38" s="1"/>
  <c r="AE34" i="38" s="1"/>
  <c r="AF34" i="38" s="1"/>
  <c r="AB34" i="38"/>
  <c r="Y50" i="38"/>
  <c r="AS50" i="38"/>
  <c r="Y48" i="38"/>
  <c r="F24" i="39"/>
  <c r="E27" i="39"/>
  <c r="U30" i="38"/>
  <c r="U35" i="38" s="1"/>
  <c r="U42" i="38" s="1"/>
  <c r="V25" i="38"/>
  <c r="AH24" i="38"/>
  <c r="AI24" i="38" s="1"/>
  <c r="AJ24" i="38" s="1"/>
  <c r="AK24" i="38" s="1"/>
  <c r="AG24" i="38"/>
  <c r="L42" i="38"/>
  <c r="Z48" i="38"/>
  <c r="AH52" i="38"/>
  <c r="Y10" i="38"/>
  <c r="AB24" i="38"/>
  <c r="M47" i="39"/>
  <c r="M42" i="38"/>
  <c r="H17" i="39"/>
  <c r="N47" i="39"/>
  <c r="N63" i="38"/>
  <c r="N62" i="38"/>
  <c r="N30" i="38"/>
  <c r="N35" i="38" s="1"/>
  <c r="N42" i="38"/>
  <c r="AH39" i="38"/>
  <c r="AI39" i="38" s="1"/>
  <c r="AJ39" i="38" s="1"/>
  <c r="AK39" i="38" s="1"/>
  <c r="AG39" i="38"/>
  <c r="X16" i="38"/>
  <c r="X8" i="39" s="1"/>
  <c r="O42" i="38"/>
  <c r="O62" i="38"/>
  <c r="AC40" i="38"/>
  <c r="AD40" i="38" s="1"/>
  <c r="AE40" i="38" s="1"/>
  <c r="AF40" i="38" s="1"/>
  <c r="AB40" i="38"/>
  <c r="AD50" i="38"/>
  <c r="H30" i="38"/>
  <c r="H35" i="38" s="1"/>
  <c r="H42" i="38" s="1"/>
  <c r="V21" i="39"/>
  <c r="X23" i="38"/>
  <c r="W23" i="38"/>
  <c r="P42" i="38"/>
  <c r="P62" i="38"/>
  <c r="M30" i="38"/>
  <c r="M35" i="38" s="1"/>
  <c r="Y27" i="38"/>
  <c r="Z31" i="38"/>
  <c r="AA31" i="38" s="1"/>
  <c r="Q42" i="38"/>
  <c r="Q62" i="38"/>
  <c r="L52" i="38"/>
  <c r="L48" i="38"/>
  <c r="Q20" i="39"/>
  <c r="R20" i="39"/>
  <c r="Q30" i="39"/>
  <c r="R30" i="38"/>
  <c r="R35" i="38" s="1"/>
  <c r="R42" i="38" s="1"/>
  <c r="N52" i="38"/>
  <c r="N48" i="38"/>
  <c r="M32" i="39"/>
  <c r="AC33" i="38"/>
  <c r="AD33" i="38" s="1"/>
  <c r="AE33" i="38" s="1"/>
  <c r="AF33" i="38" s="1"/>
  <c r="AB33" i="38"/>
  <c r="AC26" i="38"/>
  <c r="AD26" i="38" s="1"/>
  <c r="AE26" i="38" s="1"/>
  <c r="AF26" i="38" s="1"/>
  <c r="AB26" i="38"/>
  <c r="Z55" i="38"/>
  <c r="X13" i="38"/>
  <c r="Y52" i="38"/>
  <c r="AD52" i="38"/>
  <c r="Y54" i="38"/>
  <c r="R15" i="39"/>
  <c r="E56" i="38"/>
  <c r="F7" i="39"/>
  <c r="O50" i="38"/>
  <c r="AI50" i="38"/>
  <c r="I62" i="38"/>
  <c r="K24" i="39"/>
  <c r="J27" i="39"/>
  <c r="R35" i="39"/>
  <c r="P35" i="39"/>
  <c r="Q35" i="39" s="1"/>
  <c r="S39" i="39"/>
  <c r="P50" i="38"/>
  <c r="AJ50" i="38"/>
  <c r="F52" i="38"/>
  <c r="J62" i="38"/>
  <c r="H9" i="39"/>
  <c r="Q10" i="39"/>
  <c r="R10" i="39" s="1"/>
  <c r="L17" i="39"/>
  <c r="M17" i="39" s="1"/>
  <c r="Q50" i="38"/>
  <c r="AK50" i="38"/>
  <c r="K62" i="38"/>
  <c r="E63" i="38"/>
  <c r="K9" i="39"/>
  <c r="L9" i="39" s="1"/>
  <c r="R17" i="39"/>
  <c r="H19" i="39"/>
  <c r="H34" i="39"/>
  <c r="V47" i="39"/>
  <c r="V29" i="39"/>
  <c r="S50" i="38"/>
  <c r="L62" i="38"/>
  <c r="E22" i="39"/>
  <c r="U24" i="39"/>
  <c r="T27" i="39"/>
  <c r="W28" i="38"/>
  <c r="W33" i="38"/>
  <c r="T50" i="38"/>
  <c r="AN50" i="38"/>
  <c r="J52" i="38"/>
  <c r="K7" i="39"/>
  <c r="G12" i="39"/>
  <c r="W17" i="39"/>
  <c r="X28" i="38"/>
  <c r="U50" i="38"/>
  <c r="AO50" i="38"/>
  <c r="K52" i="38"/>
  <c r="I63" i="38"/>
  <c r="L12" i="39"/>
  <c r="W13" i="39"/>
  <c r="J63" i="38"/>
  <c r="F16" i="39"/>
  <c r="G16" i="39" s="1"/>
  <c r="I37" i="39"/>
  <c r="J31" i="39"/>
  <c r="K31" i="39" s="1"/>
  <c r="L31" i="39" s="1"/>
  <c r="P34" i="39"/>
  <c r="Q34" i="39" s="1"/>
  <c r="K63" i="38"/>
  <c r="P12" i="39"/>
  <c r="W19" i="39"/>
  <c r="H26" i="39"/>
  <c r="U37" i="39"/>
  <c r="E30" i="38"/>
  <c r="E35" i="38" s="1"/>
  <c r="E42" i="38" s="1"/>
  <c r="W31" i="38"/>
  <c r="W39" i="38"/>
  <c r="O48" i="38"/>
  <c r="S62" i="38"/>
  <c r="L63" i="38"/>
  <c r="P7" i="39"/>
  <c r="R21" i="39"/>
  <c r="P21" i="39"/>
  <c r="Q21" i="39" s="1"/>
  <c r="M25" i="39"/>
  <c r="M26" i="39"/>
  <c r="W31" i="39"/>
  <c r="M33" i="39"/>
  <c r="W36" i="39"/>
  <c r="P48" i="38"/>
  <c r="T62" i="38"/>
  <c r="H11" i="39"/>
  <c r="R26" i="39"/>
  <c r="Q26" i="39"/>
  <c r="Q48" i="38"/>
  <c r="U62" i="38"/>
  <c r="L6" i="39"/>
  <c r="G11" i="39"/>
  <c r="W21" i="39"/>
  <c r="U25" i="39"/>
  <c r="R33" i="39"/>
  <c r="W19" i="38"/>
  <c r="S48" i="38"/>
  <c r="O56" i="38"/>
  <c r="U8" i="39"/>
  <c r="K11" i="39"/>
  <c r="L11" i="39" s="1"/>
  <c r="I30" i="38"/>
  <c r="I35" i="38" s="1"/>
  <c r="I42" i="38" s="1"/>
  <c r="T48" i="38"/>
  <c r="D62" i="38"/>
  <c r="J30" i="38"/>
  <c r="J35" i="38" s="1"/>
  <c r="J42" i="38" s="1"/>
  <c r="U48" i="38"/>
  <c r="E62" i="38"/>
  <c r="S63" i="38"/>
  <c r="H10" i="39"/>
  <c r="W11" i="39"/>
  <c r="M15" i="39"/>
  <c r="N39" i="39"/>
  <c r="K19" i="39"/>
  <c r="L19" i="39" s="1"/>
  <c r="U20" i="39"/>
  <c r="O24" i="39"/>
  <c r="K26" i="39"/>
  <c r="L26" i="39" s="1"/>
  <c r="F32" i="39"/>
  <c r="G32" i="39" s="1"/>
  <c r="U33" i="39"/>
  <c r="F36" i="39"/>
  <c r="G36" i="39" s="1"/>
  <c r="F29" i="39"/>
  <c r="F8" i="39"/>
  <c r="G8" i="39" s="1"/>
  <c r="U15" i="39"/>
  <c r="F25" i="39"/>
  <c r="S27" i="39"/>
  <c r="U35" i="39"/>
  <c r="P9" i="39"/>
  <c r="Q9" i="39" s="1"/>
  <c r="U12" i="39"/>
  <c r="K16" i="39"/>
  <c r="L16" i="39" s="1"/>
  <c r="P19" i="39"/>
  <c r="Q19" i="39" s="1"/>
  <c r="D27" i="39"/>
  <c r="D39" i="39" s="1"/>
  <c r="D41" i="39" s="1"/>
  <c r="R30" i="39"/>
  <c r="P31" i="39"/>
  <c r="Q31" i="39" s="1"/>
  <c r="K32" i="39"/>
  <c r="L32" i="39" s="1"/>
  <c r="F33" i="39"/>
  <c r="G33" i="39" s="1"/>
  <c r="K36" i="39"/>
  <c r="L36" i="39" s="1"/>
  <c r="T17" i="39"/>
  <c r="U17" i="39" s="1"/>
  <c r="G20" i="39"/>
  <c r="H20" i="39" s="1"/>
  <c r="O11" i="39"/>
  <c r="P11" i="39" s="1"/>
  <c r="Q11" i="39" s="1"/>
  <c r="K29" i="39"/>
  <c r="K38" i="39"/>
  <c r="L38" i="39" s="1"/>
  <c r="K8" i="39"/>
  <c r="L8" i="39" s="1"/>
  <c r="F15" i="39"/>
  <c r="G15" i="39" s="1"/>
  <c r="K18" i="39"/>
  <c r="L18" i="39" s="1"/>
  <c r="F35" i="39"/>
  <c r="G35" i="39" s="1"/>
  <c r="U9" i="39"/>
  <c r="P16" i="39"/>
  <c r="Q16" i="39" s="1"/>
  <c r="U31" i="39"/>
  <c r="P32" i="39"/>
  <c r="Q32" i="39" s="1"/>
  <c r="K33" i="39"/>
  <c r="L33" i="39" s="1"/>
  <c r="K10" i="39"/>
  <c r="F17" i="39"/>
  <c r="G17" i="39" s="1"/>
  <c r="L20" i="39"/>
  <c r="M20" i="39" s="1"/>
  <c r="I27" i="39"/>
  <c r="Q36" i="39"/>
  <c r="R36" i="39" s="1"/>
  <c r="P38" i="39"/>
  <c r="Q38" i="39" s="1"/>
  <c r="P8" i="39"/>
  <c r="Q8" i="39" s="1"/>
  <c r="U11" i="39"/>
  <c r="K15" i="39"/>
  <c r="L15" i="39" s="1"/>
  <c r="P18" i="39"/>
  <c r="Q18" i="39" s="1"/>
  <c r="P25" i="39"/>
  <c r="K35" i="39"/>
  <c r="L35" i="39" s="1"/>
  <c r="U32" i="39"/>
  <c r="W32" i="39" s="1"/>
  <c r="U36" i="39"/>
  <c r="J55" i="39" l="1"/>
  <c r="J148" i="36" s="1"/>
  <c r="W8" i="39"/>
  <c r="Y22" i="36"/>
  <c r="K22" i="39"/>
  <c r="Q37" i="39"/>
  <c r="M11" i="39"/>
  <c r="AE52" i="38"/>
  <c r="AM50" i="38"/>
  <c r="AF52" i="38"/>
  <c r="AA52" i="38"/>
  <c r="O22" i="39"/>
  <c r="O55" i="39" s="1"/>
  <c r="O148" i="36" s="1"/>
  <c r="E40" i="39"/>
  <c r="D6" i="38"/>
  <c r="F22" i="39"/>
  <c r="F56" i="38"/>
  <c r="G7" i="39"/>
  <c r="AA48" i="38"/>
  <c r="V20" i="39"/>
  <c r="W20" i="39" s="1"/>
  <c r="W25" i="38"/>
  <c r="X25" i="38"/>
  <c r="AH34" i="38"/>
  <c r="AI34" i="38" s="1"/>
  <c r="AJ34" i="38" s="1"/>
  <c r="AK34" i="38" s="1"/>
  <c r="AG34" i="38"/>
  <c r="F37" i="39"/>
  <c r="G29" i="39"/>
  <c r="P22" i="39"/>
  <c r="P55" i="39" s="1"/>
  <c r="P148" i="36" s="1"/>
  <c r="AH32" i="38"/>
  <c r="AI32" i="38" s="1"/>
  <c r="AJ32" i="38" s="1"/>
  <c r="AK32" i="38" s="1"/>
  <c r="AG32" i="38"/>
  <c r="AH15" i="38"/>
  <c r="AI15" i="38" s="1"/>
  <c r="AJ15" i="38" s="1"/>
  <c r="AK15" i="38" s="1"/>
  <c r="AG15" i="38"/>
  <c r="M38" i="39"/>
  <c r="H7" i="39"/>
  <c r="AH26" i="38"/>
  <c r="AI26" i="38" s="1"/>
  <c r="AJ26" i="38" s="1"/>
  <c r="AK26" i="38" s="1"/>
  <c r="AG26" i="38"/>
  <c r="AM24" i="38"/>
  <c r="AN24" i="38" s="1"/>
  <c r="AO24" i="38" s="1"/>
  <c r="AP24" i="38" s="1"/>
  <c r="AL24" i="38"/>
  <c r="M36" i="39"/>
  <c r="X47" i="39"/>
  <c r="X29" i="39"/>
  <c r="Y28" i="38"/>
  <c r="X63" i="38"/>
  <c r="G24" i="39"/>
  <c r="F27" i="39"/>
  <c r="H33" i="39"/>
  <c r="R38" i="39"/>
  <c r="H36" i="39"/>
  <c r="AB31" i="38"/>
  <c r="AB67" i="38" s="1"/>
  <c r="AC31" i="38"/>
  <c r="AD31" i="38" s="1"/>
  <c r="AE31" i="38" s="1"/>
  <c r="AF31" i="38" s="1"/>
  <c r="H24" i="39"/>
  <c r="R16" i="39"/>
  <c r="R31" i="39"/>
  <c r="R19" i="39"/>
  <c r="J37" i="39"/>
  <c r="J39" i="39" s="1"/>
  <c r="E39" i="39"/>
  <c r="Z54" i="38"/>
  <c r="Y19" i="39"/>
  <c r="Z27" i="38"/>
  <c r="X21" i="39"/>
  <c r="Y23" i="38"/>
  <c r="AM39" i="38"/>
  <c r="AN39" i="38" s="1"/>
  <c r="AO39" i="38" s="1"/>
  <c r="AP39" i="38" s="1"/>
  <c r="AL39" i="38"/>
  <c r="AH18" i="38"/>
  <c r="AI18" i="38" s="1"/>
  <c r="AJ18" i="38" s="1"/>
  <c r="AK18" i="38" s="1"/>
  <c r="AG18" i="38"/>
  <c r="K37" i="39"/>
  <c r="L29" i="39"/>
  <c r="W29" i="39"/>
  <c r="R34" i="39"/>
  <c r="W47" i="39"/>
  <c r="W63" i="38"/>
  <c r="R32" i="39"/>
  <c r="Y17" i="39"/>
  <c r="Z10" i="38"/>
  <c r="M35" i="39"/>
  <c r="G25" i="39"/>
  <c r="Q25" i="39"/>
  <c r="M18" i="39"/>
  <c r="M16" i="39"/>
  <c r="M31" i="39"/>
  <c r="M12" i="39"/>
  <c r="L24" i="39"/>
  <c r="K27" i="39"/>
  <c r="Y13" i="38"/>
  <c r="AH33" i="38"/>
  <c r="AI33" i="38" s="1"/>
  <c r="AJ33" i="38" s="1"/>
  <c r="AK33" i="38" s="1"/>
  <c r="AG33" i="38"/>
  <c r="H32" i="39"/>
  <c r="Y16" i="38"/>
  <c r="Y8" i="39" s="1"/>
  <c r="L10" i="39"/>
  <c r="P24" i="39"/>
  <c r="O27" i="39"/>
  <c r="R8" i="39"/>
  <c r="M8" i="39"/>
  <c r="I39" i="39"/>
  <c r="H12" i="39"/>
  <c r="U27" i="39"/>
  <c r="P37" i="39"/>
  <c r="AD48" i="38"/>
  <c r="AP50" i="38"/>
  <c r="R18" i="39"/>
  <c r="P56" i="38"/>
  <c r="Q7" i="39"/>
  <c r="Q12" i="39"/>
  <c r="AC52" i="38"/>
  <c r="AG19" i="38"/>
  <c r="AH19" i="38"/>
  <c r="AI19" i="38" s="1"/>
  <c r="AJ19" i="38" s="1"/>
  <c r="AK19" i="38" s="1"/>
  <c r="AH48" i="38"/>
  <c r="H15" i="39"/>
  <c r="M19" i="39"/>
  <c r="M9" i="39"/>
  <c r="Z16" i="38"/>
  <c r="Z8" i="39" s="1"/>
  <c r="H35" i="39"/>
  <c r="AE48" i="38"/>
  <c r="AH40" i="38"/>
  <c r="AI40" i="38" s="1"/>
  <c r="AJ40" i="38" s="1"/>
  <c r="AK40" i="38" s="1"/>
  <c r="AG40" i="38"/>
  <c r="R11" i="39"/>
  <c r="H16" i="39"/>
  <c r="R9" i="39"/>
  <c r="AA55" i="38"/>
  <c r="H8" i="39"/>
  <c r="K56" i="38"/>
  <c r="L7" i="39"/>
  <c r="U22" i="39"/>
  <c r="T22" i="39"/>
  <c r="AO52" i="38" l="1"/>
  <c r="K55" i="39"/>
  <c r="K148" i="36" s="1"/>
  <c r="U55" i="39"/>
  <c r="U148" i="36" s="1"/>
  <c r="T55" i="39"/>
  <c r="T148" i="36" s="1"/>
  <c r="O39" i="39"/>
  <c r="Z22" i="36"/>
  <c r="AP52" i="38"/>
  <c r="U39" i="39"/>
  <c r="M10" i="39"/>
  <c r="R37" i="39"/>
  <c r="T39" i="39"/>
  <c r="AM52" i="38"/>
  <c r="AH31" i="38"/>
  <c r="AI31" i="38" s="1"/>
  <c r="AJ31" i="38" s="1"/>
  <c r="AK31" i="38" s="1"/>
  <c r="AG31" i="38"/>
  <c r="AG67" i="38" s="1"/>
  <c r="Y47" i="39"/>
  <c r="Y29" i="39"/>
  <c r="Y63" i="38"/>
  <c r="Z28" i="38"/>
  <c r="AJ48" i="38"/>
  <c r="Z19" i="39"/>
  <c r="AA27" i="38"/>
  <c r="AL26" i="38"/>
  <c r="AM26" i="38"/>
  <c r="AN26" i="38" s="1"/>
  <c r="AO26" i="38" s="1"/>
  <c r="AP26" i="38" s="1"/>
  <c r="G37" i="39"/>
  <c r="H29" i="39"/>
  <c r="H37" i="39" s="1"/>
  <c r="L56" i="38"/>
  <c r="M7" i="39"/>
  <c r="F39" i="39"/>
  <c r="D46" i="39"/>
  <c r="D48" i="39" s="1"/>
  <c r="D11" i="38"/>
  <c r="D20" i="38" s="1"/>
  <c r="H56" i="38"/>
  <c r="H22" i="39"/>
  <c r="E41" i="39"/>
  <c r="Y21" i="39"/>
  <c r="Z23" i="38"/>
  <c r="AM33" i="38"/>
  <c r="AN33" i="38" s="1"/>
  <c r="AO33" i="38" s="1"/>
  <c r="AP33" i="38" s="1"/>
  <c r="AL33" i="38"/>
  <c r="AM34" i="38"/>
  <c r="AN34" i="38" s="1"/>
  <c r="AO34" i="38" s="1"/>
  <c r="AP34" i="38" s="1"/>
  <c r="AL34" i="38"/>
  <c r="L22" i="39"/>
  <c r="L55" i="39" s="1"/>
  <c r="L148" i="36" s="1"/>
  <c r="Z13" i="38"/>
  <c r="AK52" i="38"/>
  <c r="X20" i="39"/>
  <c r="Y25" i="38"/>
  <c r="AI52" i="38"/>
  <c r="R25" i="39"/>
  <c r="AC55" i="38"/>
  <c r="Q56" i="38"/>
  <c r="V56" i="38" s="1"/>
  <c r="R7" i="39"/>
  <c r="Q22" i="39"/>
  <c r="AA54" i="38"/>
  <c r="AM56" i="39"/>
  <c r="AM48" i="38"/>
  <c r="L37" i="39"/>
  <c r="M29" i="39"/>
  <c r="M37" i="39" s="1"/>
  <c r="AR39" i="38"/>
  <c r="AS39" i="38" s="1"/>
  <c r="AT39" i="38" s="1"/>
  <c r="AU39" i="38" s="1"/>
  <c r="AV39" i="38" s="1"/>
  <c r="AQ39" i="38"/>
  <c r="R12" i="39"/>
  <c r="L27" i="39"/>
  <c r="M24" i="39"/>
  <c r="M27" i="39" s="1"/>
  <c r="K39" i="39"/>
  <c r="AU50" i="38"/>
  <c r="AF48" i="38"/>
  <c r="H25" i="39"/>
  <c r="Q24" i="39"/>
  <c r="Q27" i="39" s="1"/>
  <c r="P27" i="39"/>
  <c r="P39" i="39" s="1"/>
  <c r="AM15" i="38"/>
  <c r="AN15" i="38" s="1"/>
  <c r="AO15" i="38" s="1"/>
  <c r="AP15" i="38" s="1"/>
  <c r="AL15" i="38"/>
  <c r="AM40" i="38"/>
  <c r="AN40" i="38" s="1"/>
  <c r="AO40" i="38" s="1"/>
  <c r="AP40" i="38" s="1"/>
  <c r="AL40" i="38"/>
  <c r="Z17" i="39"/>
  <c r="AA10" i="38"/>
  <c r="AL18" i="38"/>
  <c r="AM18" i="38"/>
  <c r="AN18" i="38" s="1"/>
  <c r="AO18" i="38" s="1"/>
  <c r="AP18" i="38" s="1"/>
  <c r="G27" i="39"/>
  <c r="AQ24" i="38"/>
  <c r="AR24" i="38"/>
  <c r="AS24" i="38" s="1"/>
  <c r="AT24" i="38" s="1"/>
  <c r="AU24" i="38" s="1"/>
  <c r="AV24" i="38" s="1"/>
  <c r="AM19" i="38"/>
  <c r="AN19" i="38" s="1"/>
  <c r="AO19" i="38" s="1"/>
  <c r="AP19" i="38" s="1"/>
  <c r="AL19" i="38"/>
  <c r="AM32" i="38"/>
  <c r="AN32" i="38" s="1"/>
  <c r="AO32" i="38" s="1"/>
  <c r="AP32" i="38" s="1"/>
  <c r="AL32" i="38"/>
  <c r="G56" i="38"/>
  <c r="G22" i="39"/>
  <c r="AI48" i="38"/>
  <c r="R24" i="39"/>
  <c r="AT52" i="38" l="1"/>
  <c r="AJ52" i="38"/>
  <c r="Q55" i="39"/>
  <c r="Q148" i="36" s="1"/>
  <c r="AA22" i="36"/>
  <c r="Q39" i="39"/>
  <c r="AS52" i="38"/>
  <c r="AO48" i="38"/>
  <c r="AR32" i="38"/>
  <c r="AS32" i="38" s="1"/>
  <c r="AT32" i="38" s="1"/>
  <c r="AU32" i="38" s="1"/>
  <c r="AV32" i="38" s="1"/>
  <c r="AQ32" i="38"/>
  <c r="AN56" i="39"/>
  <c r="AR33" i="38"/>
  <c r="AS33" i="38" s="1"/>
  <c r="AT33" i="38" s="1"/>
  <c r="AU33" i="38" s="1"/>
  <c r="AV33" i="38" s="1"/>
  <c r="AQ33" i="38"/>
  <c r="M22" i="39"/>
  <c r="M55" i="39" s="1"/>
  <c r="M148" i="36" s="1"/>
  <c r="AQ15" i="38"/>
  <c r="AR15" i="38"/>
  <c r="AS15" i="38" s="1"/>
  <c r="AT15" i="38" s="1"/>
  <c r="AU15" i="38" s="1"/>
  <c r="AV15" i="38" s="1"/>
  <c r="AC54" i="38"/>
  <c r="Z21" i="39"/>
  <c r="AA23" i="38"/>
  <c r="H27" i="39"/>
  <c r="AR40" i="38"/>
  <c r="AS40" i="38" s="1"/>
  <c r="AT40" i="38" s="1"/>
  <c r="AU40" i="38" s="1"/>
  <c r="AV40" i="38" s="1"/>
  <c r="AQ40" i="38"/>
  <c r="AR19" i="38"/>
  <c r="AS19" i="38" s="1"/>
  <c r="AT19" i="38" s="1"/>
  <c r="AU19" i="38" s="1"/>
  <c r="AV19" i="38" s="1"/>
  <c r="AQ19" i="38"/>
  <c r="AR52" i="38"/>
  <c r="Y20" i="39"/>
  <c r="Z25" i="38"/>
  <c r="F40" i="39"/>
  <c r="F41" i="39" s="1"/>
  <c r="E6" i="38"/>
  <c r="E144" i="36" s="1"/>
  <c r="Z47" i="39"/>
  <c r="Z29" i="39"/>
  <c r="AA28" i="38"/>
  <c r="Z63" i="38"/>
  <c r="H39" i="39"/>
  <c r="H41" i="39" s="1"/>
  <c r="G39" i="39"/>
  <c r="R27" i="39"/>
  <c r="AU52" i="38"/>
  <c r="AR26" i="38"/>
  <c r="AS26" i="38" s="1"/>
  <c r="AT26" i="38" s="1"/>
  <c r="AU26" i="38" s="1"/>
  <c r="AV26" i="38" s="1"/>
  <c r="AQ26" i="38"/>
  <c r="AN52" i="38"/>
  <c r="AK48" i="38"/>
  <c r="D53" i="38"/>
  <c r="D43" i="38"/>
  <c r="AQ18" i="38"/>
  <c r="AR18" i="38"/>
  <c r="AS18" i="38" s="1"/>
  <c r="AT18" i="38" s="1"/>
  <c r="AU18" i="38" s="1"/>
  <c r="AV18" i="38" s="1"/>
  <c r="L39" i="39"/>
  <c r="R22" i="39"/>
  <c r="AA13" i="38"/>
  <c r="AA19" i="39"/>
  <c r="AB19" i="39" s="1"/>
  <c r="AC27" i="38"/>
  <c r="AC16" i="38" s="1"/>
  <c r="AC8" i="39" s="1"/>
  <c r="AB27" i="38"/>
  <c r="AM31" i="38"/>
  <c r="AN31" i="38" s="1"/>
  <c r="AO31" i="38" s="1"/>
  <c r="AP31" i="38" s="1"/>
  <c r="AL31" i="38"/>
  <c r="AL67" i="38" s="1"/>
  <c r="V7" i="39"/>
  <c r="X56" i="38"/>
  <c r="AA17" i="39"/>
  <c r="AB17" i="39" s="1"/>
  <c r="AB10" i="38"/>
  <c r="AC10" i="38"/>
  <c r="AD55" i="38"/>
  <c r="AA16" i="38"/>
  <c r="AN48" i="38"/>
  <c r="AR48" i="38"/>
  <c r="AR34" i="38"/>
  <c r="AS34" i="38" s="1"/>
  <c r="AT34" i="38" s="1"/>
  <c r="AU34" i="38" s="1"/>
  <c r="AV34" i="38" s="1"/>
  <c r="AQ34" i="38"/>
  <c r="V66" i="36" l="1"/>
  <c r="V99" i="36"/>
  <c r="V127" i="36"/>
  <c r="R55" i="39"/>
  <c r="R148" i="36" s="1"/>
  <c r="R39" i="39"/>
  <c r="AC22" i="36"/>
  <c r="W7" i="39"/>
  <c r="AR31" i="38"/>
  <c r="AS31" i="38" s="1"/>
  <c r="AT31" i="38" s="1"/>
  <c r="AU31" i="38" s="1"/>
  <c r="AV31" i="38" s="1"/>
  <c r="AV67" i="38" s="1"/>
  <c r="AQ31" i="38"/>
  <c r="AQ67" i="38" s="1"/>
  <c r="AC19" i="39"/>
  <c r="AD27" i="38"/>
  <c r="AD16" i="38" s="1"/>
  <c r="AD8" i="39" s="1"/>
  <c r="AE55" i="38"/>
  <c r="M39" i="39"/>
  <c r="AO56" i="39"/>
  <c r="AC13" i="38"/>
  <c r="AB13" i="38"/>
  <c r="AA47" i="39"/>
  <c r="AA29" i="39"/>
  <c r="AC28" i="38"/>
  <c r="AB28" i="38"/>
  <c r="AA63" i="38"/>
  <c r="AA21" i="39"/>
  <c r="AB21" i="39" s="1"/>
  <c r="AC23" i="38"/>
  <c r="AB23" i="38"/>
  <c r="AC17" i="39"/>
  <c r="AD10" i="38"/>
  <c r="AA8" i="39"/>
  <c r="AB8" i="39" s="1"/>
  <c r="AB16" i="38"/>
  <c r="AP48" i="38"/>
  <c r="E46" i="39"/>
  <c r="E48" i="39" s="1"/>
  <c r="E11" i="38"/>
  <c r="E20" i="38" s="1"/>
  <c r="G40" i="39"/>
  <c r="G41" i="39" s="1"/>
  <c r="G6" i="38" s="1"/>
  <c r="F6" i="38"/>
  <c r="F144" i="36" s="1"/>
  <c r="AE54" i="38"/>
  <c r="AT48" i="38"/>
  <c r="Y56" i="38"/>
  <c r="Z56" i="38" s="1"/>
  <c r="Z20" i="39"/>
  <c r="AA25" i="38"/>
  <c r="AD54" i="38"/>
  <c r="M40" i="39"/>
  <c r="I40" i="39"/>
  <c r="AS48" i="38"/>
  <c r="AD22" i="36" l="1"/>
  <c r="AA56" i="38"/>
  <c r="AB47" i="39"/>
  <c r="AC47" i="39"/>
  <c r="AC29" i="39"/>
  <c r="AD28" i="38"/>
  <c r="AC63" i="38"/>
  <c r="AB29" i="39"/>
  <c r="M41" i="39"/>
  <c r="I41" i="39"/>
  <c r="F46" i="39"/>
  <c r="F48" i="39" s="1"/>
  <c r="F11" i="38"/>
  <c r="F20" i="38" s="1"/>
  <c r="AU48" i="38"/>
  <c r="G46" i="39"/>
  <c r="G48" i="39" s="1"/>
  <c r="H6" i="38"/>
  <c r="G11" i="38"/>
  <c r="G20" i="38" s="1"/>
  <c r="AD13" i="38"/>
  <c r="AD19" i="39"/>
  <c r="AE27" i="38"/>
  <c r="AF54" i="38"/>
  <c r="AA20" i="39"/>
  <c r="AC25" i="38"/>
  <c r="AB25" i="38"/>
  <c r="AB20" i="39"/>
  <c r="AD17" i="39"/>
  <c r="AE10" i="38"/>
  <c r="AP56" i="39"/>
  <c r="E53" i="38"/>
  <c r="E43" i="38"/>
  <c r="AH54" i="38"/>
  <c r="AC21" i="39"/>
  <c r="AD23" i="38"/>
  <c r="AE16" i="38"/>
  <c r="AE8" i="39" s="1"/>
  <c r="AF55" i="38"/>
  <c r="AE22" i="36" l="1"/>
  <c r="AE17" i="39"/>
  <c r="AF10" i="38"/>
  <c r="G53" i="38"/>
  <c r="G43" i="38"/>
  <c r="H46" i="39"/>
  <c r="H48" i="39" s="1"/>
  <c r="H11" i="38"/>
  <c r="H20" i="38" s="1"/>
  <c r="AD47" i="39"/>
  <c r="AD29" i="39"/>
  <c r="AE28" i="38"/>
  <c r="AD63" i="38"/>
  <c r="AH55" i="38"/>
  <c r="AI55" i="38" s="1"/>
  <c r="AD21" i="39"/>
  <c r="AE23" i="38"/>
  <c r="AC20" i="39"/>
  <c r="AD25" i="38"/>
  <c r="F53" i="38"/>
  <c r="F43" i="38"/>
  <c r="AR56" i="39"/>
  <c r="AS56" i="39" s="1"/>
  <c r="J40" i="39"/>
  <c r="J41" i="39" s="1"/>
  <c r="I6" i="38"/>
  <c r="I144" i="36" s="1"/>
  <c r="AI54" i="38"/>
  <c r="N40" i="39"/>
  <c r="R40" i="39"/>
  <c r="AC56" i="38"/>
  <c r="AE13" i="38"/>
  <c r="AE19" i="39"/>
  <c r="AF27" i="38"/>
  <c r="AF22" i="36" l="1"/>
  <c r="AJ55" i="38"/>
  <c r="I46" i="39"/>
  <c r="I48" i="39" s="1"/>
  <c r="I11" i="38"/>
  <c r="I20" i="38" s="1"/>
  <c r="AE29" i="39"/>
  <c r="AF28" i="38"/>
  <c r="AE63" i="38"/>
  <c r="AE47" i="39"/>
  <c r="H53" i="38"/>
  <c r="H43" i="38"/>
  <c r="AF13" i="38"/>
  <c r="AT56" i="39"/>
  <c r="AE21" i="39"/>
  <c r="AF23" i="38"/>
  <c r="AF19" i="39"/>
  <c r="AG19" i="39" s="1"/>
  <c r="AH27" i="38"/>
  <c r="AG27" i="38"/>
  <c r="R41" i="39"/>
  <c r="N41" i="39"/>
  <c r="AJ54" i="38"/>
  <c r="AF17" i="39"/>
  <c r="AG17" i="39" s="1"/>
  <c r="AH10" i="38"/>
  <c r="AG10" i="38"/>
  <c r="K40" i="39"/>
  <c r="K41" i="39" s="1"/>
  <c r="J6" i="38"/>
  <c r="J144" i="36" s="1"/>
  <c r="AD56" i="38"/>
  <c r="AH16" i="38"/>
  <c r="AF16" i="38"/>
  <c r="AD20" i="39"/>
  <c r="AE25" i="38"/>
  <c r="AK55" i="38"/>
  <c r="AH22" i="36" l="1"/>
  <c r="AF29" i="39"/>
  <c r="AG29" i="39" s="1"/>
  <c r="AF47" i="39"/>
  <c r="AF63" i="38"/>
  <c r="AG28" i="38"/>
  <c r="AH28" i="38"/>
  <c r="AF21" i="39"/>
  <c r="AG21" i="39" s="1"/>
  <c r="AH23" i="38"/>
  <c r="AG23" i="38"/>
  <c r="I53" i="38"/>
  <c r="I43" i="38"/>
  <c r="J46" i="39"/>
  <c r="J48" i="39" s="1"/>
  <c r="J11" i="38"/>
  <c r="J20" i="38" s="1"/>
  <c r="AU56" i="39"/>
  <c r="AE56" i="38"/>
  <c r="AE20" i="39"/>
  <c r="AF25" i="38"/>
  <c r="L40" i="39"/>
  <c r="L41" i="39" s="1"/>
  <c r="L6" i="38" s="1"/>
  <c r="K6" i="38"/>
  <c r="K144" i="36" s="1"/>
  <c r="AH17" i="39"/>
  <c r="AI10" i="38"/>
  <c r="AK54" i="38"/>
  <c r="O40" i="39"/>
  <c r="O41" i="39" s="1"/>
  <c r="N6" i="38"/>
  <c r="N144" i="36" s="1"/>
  <c r="W40" i="39"/>
  <c r="S40" i="39"/>
  <c r="AH8" i="39"/>
  <c r="AH13" i="38"/>
  <c r="AG13" i="38"/>
  <c r="AF8" i="39"/>
  <c r="AG8" i="39" s="1"/>
  <c r="AG16" i="38"/>
  <c r="AM55" i="38"/>
  <c r="AH19" i="39"/>
  <c r="AI27" i="38"/>
  <c r="AN55" i="38"/>
  <c r="AI22" i="36" l="1"/>
  <c r="L144" i="36"/>
  <c r="AF56" i="38"/>
  <c r="AH29" i="39"/>
  <c r="AH47" i="39"/>
  <c r="AH63" i="38"/>
  <c r="AI28" i="38"/>
  <c r="AG47" i="39"/>
  <c r="J53" i="38"/>
  <c r="J43" i="38"/>
  <c r="L46" i="39"/>
  <c r="L48" i="39" s="1"/>
  <c r="L11" i="38"/>
  <c r="L20" i="38" s="1"/>
  <c r="M6" i="38"/>
  <c r="AH56" i="38"/>
  <c r="AF20" i="39"/>
  <c r="AG20" i="39" s="1"/>
  <c r="AH25" i="38"/>
  <c r="AG25" i="38"/>
  <c r="S41" i="39"/>
  <c r="AN54" i="38"/>
  <c r="AI13" i="38"/>
  <c r="AI17" i="39"/>
  <c r="AJ10" i="38"/>
  <c r="N46" i="39"/>
  <c r="N48" i="39" s="1"/>
  <c r="N11" i="38"/>
  <c r="N20" i="38" s="1"/>
  <c r="AI19" i="39"/>
  <c r="AJ27" i="38"/>
  <c r="AI16" i="38"/>
  <c r="AI8" i="39" s="1"/>
  <c r="AH21" i="39"/>
  <c r="AI23" i="38"/>
  <c r="P40" i="39"/>
  <c r="P41" i="39" s="1"/>
  <c r="O6" i="38"/>
  <c r="O144" i="36" s="1"/>
  <c r="AO55" i="38"/>
  <c r="K46" i="39"/>
  <c r="K48" i="39" s="1"/>
  <c r="K11" i="38"/>
  <c r="K20" i="38" s="1"/>
  <c r="AM54" i="38"/>
  <c r="AJ22" i="36" l="1"/>
  <c r="T40" i="39"/>
  <c r="T41" i="39" s="1"/>
  <c r="S6" i="38"/>
  <c r="AI29" i="39"/>
  <c r="AI47" i="39"/>
  <c r="AI63" i="38"/>
  <c r="AJ28" i="38"/>
  <c r="AH20" i="39"/>
  <c r="AI25" i="38"/>
  <c r="AJ13" i="38"/>
  <c r="AP55" i="38"/>
  <c r="AJ19" i="39"/>
  <c r="AK27" i="38"/>
  <c r="AJ16" i="38"/>
  <c r="AJ8" i="39" s="1"/>
  <c r="M46" i="39"/>
  <c r="M11" i="38"/>
  <c r="M20" i="38" s="1"/>
  <c r="M43" i="38" s="1"/>
  <c r="L53" i="38"/>
  <c r="L43" i="38"/>
  <c r="AO54" i="38"/>
  <c r="AP54" i="38" s="1"/>
  <c r="AJ17" i="39"/>
  <c r="AK10" i="38"/>
  <c r="O46" i="39"/>
  <c r="O48" i="39" s="1"/>
  <c r="O11" i="38"/>
  <c r="O20" i="38" s="1"/>
  <c r="Q40" i="39"/>
  <c r="Q41" i="39" s="1"/>
  <c r="Q6" i="38" s="1"/>
  <c r="Q144" i="36" s="1"/>
  <c r="P6" i="38"/>
  <c r="P144" i="36" s="1"/>
  <c r="AJ56" i="38"/>
  <c r="AK56" i="38" s="1"/>
  <c r="K53" i="38"/>
  <c r="K43" i="38"/>
  <c r="N53" i="38"/>
  <c r="N43" i="38"/>
  <c r="AI56" i="38"/>
  <c r="AI21" i="39"/>
  <c r="AJ23" i="38"/>
  <c r="AR55" i="38"/>
  <c r="AS55" i="38" s="1"/>
  <c r="AK22" i="36" l="1"/>
  <c r="AM56" i="38"/>
  <c r="S144" i="36"/>
  <c r="AJ29" i="39"/>
  <c r="AJ47" i="39"/>
  <c r="AJ63" i="38"/>
  <c r="AK28" i="38"/>
  <c r="AK19" i="39"/>
  <c r="AL19" i="39" s="1"/>
  <c r="AL27" i="38"/>
  <c r="AM27" i="38"/>
  <c r="AK16" i="38"/>
  <c r="AI20" i="39"/>
  <c r="AJ25" i="38"/>
  <c r="AJ21" i="39"/>
  <c r="AK23" i="38"/>
  <c r="O53" i="38"/>
  <c r="O43" i="38"/>
  <c r="S46" i="39"/>
  <c r="S48" i="39" s="1"/>
  <c r="S11" i="38"/>
  <c r="S20" i="38" s="1"/>
  <c r="AN56" i="38"/>
  <c r="AK17" i="39"/>
  <c r="AL17" i="39" s="1"/>
  <c r="AM10" i="38"/>
  <c r="AL10" i="38"/>
  <c r="AU55" i="38"/>
  <c r="U40" i="39"/>
  <c r="U41" i="39" s="1"/>
  <c r="T6" i="38"/>
  <c r="T144" i="36" s="1"/>
  <c r="Q46" i="39"/>
  <c r="Q48" i="39" s="1"/>
  <c r="Q11" i="38"/>
  <c r="Q20" i="38" s="1"/>
  <c r="R6" i="38"/>
  <c r="AT55" i="38"/>
  <c r="P46" i="39"/>
  <c r="P48" i="39" s="1"/>
  <c r="P11" i="38"/>
  <c r="P20" i="38" s="1"/>
  <c r="AR54" i="38"/>
  <c r="AK13" i="38"/>
  <c r="AM22" i="36" l="1"/>
  <c r="AT54" i="38"/>
  <c r="V40" i="39"/>
  <c r="U6" i="38"/>
  <c r="AS54" i="38"/>
  <c r="R46" i="39"/>
  <c r="R11" i="38"/>
  <c r="R20" i="38" s="1"/>
  <c r="R43" i="38" s="1"/>
  <c r="AU54" i="38"/>
  <c r="AM17" i="39"/>
  <c r="AN10" i="38"/>
  <c r="P53" i="38"/>
  <c r="P43" i="38"/>
  <c r="Q53" i="38"/>
  <c r="Q43" i="38"/>
  <c r="S53" i="38"/>
  <c r="S43" i="38"/>
  <c r="AJ20" i="39"/>
  <c r="AK25" i="38"/>
  <c r="AK47" i="39"/>
  <c r="AK63" i="38"/>
  <c r="AK29" i="39"/>
  <c r="AL29" i="39" s="1"/>
  <c r="AM28" i="38"/>
  <c r="AL28" i="38"/>
  <c r="AK21" i="39"/>
  <c r="AL21" i="39" s="1"/>
  <c r="AM23" i="38"/>
  <c r="AL23" i="38"/>
  <c r="AM13" i="38"/>
  <c r="AL13" i="38"/>
  <c r="AK8" i="39"/>
  <c r="AL8" i="39" s="1"/>
  <c r="AL16" i="38"/>
  <c r="AO56" i="38"/>
  <c r="AP56" i="38" s="1"/>
  <c r="AM19" i="39"/>
  <c r="AN27" i="38"/>
  <c r="AM16" i="38"/>
  <c r="AM8" i="39" s="1"/>
  <c r="T46" i="39"/>
  <c r="T48" i="39" s="1"/>
  <c r="T11" i="38"/>
  <c r="T20" i="38" s="1"/>
  <c r="AN22" i="36" l="1"/>
  <c r="U144" i="36"/>
  <c r="AK20" i="39"/>
  <c r="AL20" i="39" s="1"/>
  <c r="AM25" i="38"/>
  <c r="AL25" i="38"/>
  <c r="AN13" i="38"/>
  <c r="AN17" i="39"/>
  <c r="AO10" i="38"/>
  <c r="AR56" i="38"/>
  <c r="U46" i="39"/>
  <c r="U48" i="39" s="1"/>
  <c r="U11" i="38"/>
  <c r="U20" i="38" s="1"/>
  <c r="AM47" i="39"/>
  <c r="AM29" i="39"/>
  <c r="AN28" i="38"/>
  <c r="AM63" i="38"/>
  <c r="AM21" i="39"/>
  <c r="AN23" i="38"/>
  <c r="T53" i="38"/>
  <c r="T43" i="38"/>
  <c r="AL47" i="39"/>
  <c r="AN19" i="39"/>
  <c r="AO27" i="38"/>
  <c r="AN16" i="38"/>
  <c r="AN8" i="39" s="1"/>
  <c r="AO22" i="36" l="1"/>
  <c r="V21" i="36"/>
  <c r="AM20" i="39"/>
  <c r="AN25" i="38"/>
  <c r="AO19" i="39"/>
  <c r="AP27" i="38"/>
  <c r="AO16" i="38"/>
  <c r="AO8" i="39" s="1"/>
  <c r="AO13" i="38"/>
  <c r="AS56" i="38"/>
  <c r="AT56" i="38" s="1"/>
  <c r="AN47" i="39"/>
  <c r="AN29" i="39"/>
  <c r="AO28" i="38"/>
  <c r="AN63" i="38"/>
  <c r="U53" i="38"/>
  <c r="U43" i="38"/>
  <c r="AO17" i="39"/>
  <c r="AP10" i="38"/>
  <c r="AN21" i="39"/>
  <c r="AO23" i="38"/>
  <c r="AP22" i="36" l="1"/>
  <c r="AO47" i="39"/>
  <c r="AO29" i="39"/>
  <c r="AO63" i="38"/>
  <c r="AP28" i="38"/>
  <c r="AN20" i="39"/>
  <c r="AO25" i="38"/>
  <c r="AQ17" i="39"/>
  <c r="AP13" i="38"/>
  <c r="AP19" i="39"/>
  <c r="AQ19" i="39" s="1"/>
  <c r="AR27" i="38"/>
  <c r="AQ27" i="38"/>
  <c r="AP16" i="38"/>
  <c r="AO21" i="39"/>
  <c r="AP23" i="38"/>
  <c r="AP17" i="39"/>
  <c r="AR10" i="38"/>
  <c r="AQ10" i="38"/>
  <c r="AU56" i="38"/>
  <c r="V53" i="38"/>
  <c r="X53" i="38" s="1"/>
  <c r="AR22" i="36" l="1"/>
  <c r="Y53" i="38"/>
  <c r="Z53" i="38" s="1"/>
  <c r="AR17" i="39"/>
  <c r="AS10" i="38"/>
  <c r="AR19" i="39"/>
  <c r="AS27" i="38"/>
  <c r="AR16" i="38"/>
  <c r="AR8" i="39" s="1"/>
  <c r="AP47" i="39"/>
  <c r="AP29" i="39"/>
  <c r="AR28" i="38"/>
  <c r="AQ28" i="38"/>
  <c r="AP63" i="38"/>
  <c r="AQ13" i="38"/>
  <c r="AR13" i="38"/>
  <c r="AO20" i="39"/>
  <c r="AP25" i="38"/>
  <c r="AP21" i="39"/>
  <c r="AQ21" i="39" s="1"/>
  <c r="AR23" i="38"/>
  <c r="AQ23" i="38"/>
  <c r="AP8" i="39"/>
  <c r="AQ8" i="39" s="1"/>
  <c r="AQ16" i="38"/>
  <c r="AS22" i="36" l="1"/>
  <c r="AQ29" i="39"/>
  <c r="AP20" i="39"/>
  <c r="AQ25" i="38"/>
  <c r="AR25" i="38"/>
  <c r="AS19" i="39"/>
  <c r="AT27" i="38"/>
  <c r="AS16" i="38"/>
  <c r="AS8" i="39" s="1"/>
  <c r="AA53" i="38"/>
  <c r="AS17" i="39"/>
  <c r="AT10" i="38"/>
  <c r="AQ20" i="39"/>
  <c r="AQ47" i="39"/>
  <c r="AS13" i="38"/>
  <c r="AR47" i="39"/>
  <c r="AR29" i="39"/>
  <c r="AS28" i="38"/>
  <c r="AR63" i="38"/>
  <c r="AR21" i="39"/>
  <c r="AS23" i="38"/>
  <c r="AU22" i="36" l="1"/>
  <c r="AT22" i="36"/>
  <c r="AS47" i="39"/>
  <c r="AS29" i="39"/>
  <c r="AT28" i="38"/>
  <c r="AS63" i="38"/>
  <c r="AR20" i="39"/>
  <c r="AS25" i="38"/>
  <c r="AT19" i="39"/>
  <c r="AU27" i="38"/>
  <c r="AT16" i="38"/>
  <c r="AT8" i="39" s="1"/>
  <c r="AS21" i="39"/>
  <c r="AT23" i="38"/>
  <c r="AT13" i="38"/>
  <c r="AC53" i="38"/>
  <c r="AT17" i="39"/>
  <c r="AU10" i="38"/>
  <c r="AS20" i="39" l="1"/>
  <c r="AT25" i="38"/>
  <c r="AD53" i="38"/>
  <c r="AE53" i="38" s="1"/>
  <c r="AU19" i="39"/>
  <c r="AV19" i="39" s="1"/>
  <c r="AV27" i="38"/>
  <c r="AU16" i="38"/>
  <c r="AT47" i="39"/>
  <c r="AT29" i="39"/>
  <c r="AU28" i="38"/>
  <c r="AT63" i="38"/>
  <c r="AU13" i="38"/>
  <c r="AU17" i="39"/>
  <c r="AV17" i="39" s="1"/>
  <c r="AV10" i="38"/>
  <c r="AT21" i="39"/>
  <c r="AU23" i="38"/>
  <c r="AF53" i="38" l="1"/>
  <c r="AH53" i="38" s="1"/>
  <c r="AT20" i="39"/>
  <c r="AU25" i="38"/>
  <c r="AU21" i="39"/>
  <c r="AV21" i="39" s="1"/>
  <c r="AV23" i="38"/>
  <c r="AU29" i="39"/>
  <c r="AV28" i="38"/>
  <c r="AU47" i="39"/>
  <c r="AU63" i="38"/>
  <c r="AU8" i="39"/>
  <c r="AV8" i="39" s="1"/>
  <c r="AV16" i="38"/>
  <c r="AV13" i="38"/>
  <c r="AI53" i="38" l="1"/>
  <c r="AU20" i="39"/>
  <c r="AV25" i="38"/>
  <c r="AV20" i="39"/>
  <c r="AJ53" i="38"/>
  <c r="AK53" i="38" s="1"/>
  <c r="AV47" i="39"/>
  <c r="AV29" i="39"/>
  <c r="AM53" i="38" l="1"/>
  <c r="AN53" i="38" l="1"/>
  <c r="AO53" i="38" l="1"/>
  <c r="AP53" i="38" l="1"/>
  <c r="AR53" i="38" s="1"/>
  <c r="AS53" i="38" l="1"/>
  <c r="AT53" i="38"/>
  <c r="AU53" i="38" s="1"/>
  <c r="AR167" i="36" l="1"/>
  <c r="AR166" i="36"/>
  <c r="AR164" i="36"/>
  <c r="AM167" i="36"/>
  <c r="AM166" i="36"/>
  <c r="AM164" i="36"/>
  <c r="AH167" i="36"/>
  <c r="AH166" i="36"/>
  <c r="AH164" i="36"/>
  <c r="AC167" i="36"/>
  <c r="AC166" i="36"/>
  <c r="AC164" i="36"/>
  <c r="X164" i="36"/>
  <c r="X165" i="36"/>
  <c r="Y165" i="36" s="1"/>
  <c r="Z165" i="36" s="1"/>
  <c r="AA165" i="36" s="1"/>
  <c r="AC165" i="36" s="1"/>
  <c r="AD165" i="36" s="1"/>
  <c r="AE165" i="36" s="1"/>
  <c r="AF165" i="36" s="1"/>
  <c r="AH165" i="36" s="1"/>
  <c r="AI165" i="36" s="1"/>
  <c r="AJ165" i="36" s="1"/>
  <c r="AK165" i="36" s="1"/>
  <c r="AM165" i="36" s="1"/>
  <c r="AN165" i="36" s="1"/>
  <c r="AO165" i="36" s="1"/>
  <c r="AP165" i="36" s="1"/>
  <c r="AR165" i="36" s="1"/>
  <c r="AS165" i="36" s="1"/>
  <c r="AT165" i="36" s="1"/>
  <c r="AU165" i="36" s="1"/>
  <c r="X166" i="36"/>
  <c r="X167" i="36"/>
  <c r="V119" i="36"/>
  <c r="X119" i="36" s="1"/>
  <c r="Y119" i="36" s="1"/>
  <c r="Z119" i="36" s="1"/>
  <c r="AA119" i="36" s="1"/>
  <c r="AC119" i="36" s="1"/>
  <c r="AD119" i="36" s="1"/>
  <c r="AE119" i="36" s="1"/>
  <c r="AF119" i="36" s="1"/>
  <c r="AH119" i="36" s="1"/>
  <c r="AI119" i="36" s="1"/>
  <c r="AJ119" i="36" s="1"/>
  <c r="AK119" i="36" s="1"/>
  <c r="AM119" i="36" s="1"/>
  <c r="AN119" i="36" s="1"/>
  <c r="AO119" i="36" s="1"/>
  <c r="AP119" i="36" s="1"/>
  <c r="AR119" i="36" s="1"/>
  <c r="AS119" i="36" s="1"/>
  <c r="AT119" i="36" s="1"/>
  <c r="AU119" i="36" s="1"/>
  <c r="AU91" i="36"/>
  <c r="AT91" i="36"/>
  <c r="AS91" i="36"/>
  <c r="AR91" i="36"/>
  <c r="AP91" i="36"/>
  <c r="AO91" i="36"/>
  <c r="AN91" i="36"/>
  <c r="AM91" i="36"/>
  <c r="AK91" i="36"/>
  <c r="AJ91" i="36"/>
  <c r="AI91" i="36"/>
  <c r="AH91" i="36"/>
  <c r="AF91" i="36"/>
  <c r="AE91" i="36"/>
  <c r="AD91" i="36"/>
  <c r="AC91" i="36"/>
  <c r="AU58" i="36"/>
  <c r="AT58" i="36"/>
  <c r="AS58" i="36"/>
  <c r="AR58" i="36"/>
  <c r="AP58" i="36"/>
  <c r="AO58" i="36"/>
  <c r="AN58" i="36"/>
  <c r="AM58" i="36"/>
  <c r="AK58" i="36"/>
  <c r="AJ58" i="36"/>
  <c r="AI58" i="36"/>
  <c r="AH58" i="36"/>
  <c r="AF58" i="36"/>
  <c r="AE58" i="36"/>
  <c r="AD58" i="36"/>
  <c r="AC58" i="36"/>
  <c r="AV22" i="36"/>
  <c r="AQ22" i="36"/>
  <c r="AL22" i="36"/>
  <c r="AG22" i="36"/>
  <c r="X129" i="36" l="1"/>
  <c r="X102" i="36"/>
  <c r="Y102" i="36" s="1"/>
  <c r="S152" i="36"/>
  <c r="S151" i="36"/>
  <c r="T151" i="36"/>
  <c r="T152" i="36"/>
  <c r="Z163" i="36" l="1"/>
  <c r="Y129" i="36"/>
  <c r="Z129" i="36" s="1"/>
  <c r="T154" i="36"/>
  <c r="S154" i="36"/>
  <c r="U172" i="36"/>
  <c r="U124" i="36"/>
  <c r="U116" i="36"/>
  <c r="U113" i="36"/>
  <c r="U111" i="36"/>
  <c r="U109" i="36"/>
  <c r="U96" i="36"/>
  <c r="U89" i="36"/>
  <c r="U63" i="36"/>
  <c r="U58" i="36"/>
  <c r="U56" i="36"/>
  <c r="T79" i="36"/>
  <c r="S79" i="36"/>
  <c r="Q79" i="36"/>
  <c r="P79" i="36"/>
  <c r="O79" i="36"/>
  <c r="N79" i="36"/>
  <c r="L79" i="36"/>
  <c r="K79" i="36"/>
  <c r="J79" i="36"/>
  <c r="I79" i="36"/>
  <c r="N76" i="36"/>
  <c r="N77" i="36" s="1"/>
  <c r="I76" i="36"/>
  <c r="I77" i="36" s="1"/>
  <c r="L76" i="36"/>
  <c r="L77" i="36" s="1"/>
  <c r="K76" i="36"/>
  <c r="K77" i="36" s="1"/>
  <c r="J76" i="36"/>
  <c r="J77" i="36" s="1"/>
  <c r="F76" i="36"/>
  <c r="F77" i="36" s="1"/>
  <c r="G76" i="36"/>
  <c r="G77" i="36" s="1"/>
  <c r="E76" i="36"/>
  <c r="E77" i="36" s="1"/>
  <c r="G43" i="36"/>
  <c r="G44" i="36" s="1"/>
  <c r="F43" i="36"/>
  <c r="F44" i="36" s="1"/>
  <c r="E43" i="36"/>
  <c r="E44" i="36" s="1"/>
  <c r="L43" i="36"/>
  <c r="L44" i="36" s="1"/>
  <c r="K43" i="36"/>
  <c r="K44" i="36" s="1"/>
  <c r="J43" i="36"/>
  <c r="J44" i="36" s="1"/>
  <c r="I43" i="36"/>
  <c r="I44" i="36" s="1"/>
  <c r="N43" i="36"/>
  <c r="N44" i="36" s="1"/>
  <c r="T46" i="36"/>
  <c r="S46" i="36"/>
  <c r="Q46" i="36"/>
  <c r="P46" i="36"/>
  <c r="O46" i="36"/>
  <c r="N46" i="36"/>
  <c r="J46" i="36"/>
  <c r="K46" i="36"/>
  <c r="L46" i="36"/>
  <c r="I46" i="36"/>
  <c r="AV154" i="36"/>
  <c r="AV20" i="36"/>
  <c r="T172" i="36"/>
  <c r="T171" i="36"/>
  <c r="S165" i="36"/>
  <c r="T124" i="36"/>
  <c r="S124" i="36"/>
  <c r="T116" i="36"/>
  <c r="S116" i="36"/>
  <c r="T113" i="36"/>
  <c r="S113" i="36"/>
  <c r="T111" i="36"/>
  <c r="S111" i="36"/>
  <c r="T109" i="36"/>
  <c r="S109" i="36"/>
  <c r="T96" i="36"/>
  <c r="S96" i="36"/>
  <c r="T89" i="36"/>
  <c r="S89" i="36"/>
  <c r="T63" i="36"/>
  <c r="S63" i="36"/>
  <c r="T56" i="36"/>
  <c r="S56" i="36"/>
  <c r="S70" i="36"/>
  <c r="V154" i="36"/>
  <c r="X113" i="36" l="1"/>
  <c r="Y113" i="36"/>
  <c r="Y111" i="36"/>
  <c r="Z111" i="36"/>
  <c r="Z113" i="36"/>
  <c r="Y116" i="36"/>
  <c r="Z116" i="36"/>
  <c r="U187" i="36"/>
  <c r="U181" i="36"/>
  <c r="Z96" i="36"/>
  <c r="X96" i="36"/>
  <c r="Y96" i="36"/>
  <c r="X116" i="36"/>
  <c r="X111" i="36"/>
  <c r="Z117" i="36"/>
  <c r="Z69" i="36"/>
  <c r="AA163" i="36"/>
  <c r="AC163" i="36" s="1"/>
  <c r="Z102" i="36"/>
  <c r="AA102" i="36" s="1"/>
  <c r="W154" i="36"/>
  <c r="V34" i="39"/>
  <c r="W34" i="39" s="1"/>
  <c r="Q172" i="36"/>
  <c r="Q171" i="36"/>
  <c r="Q8" i="36"/>
  <c r="Q15" i="36"/>
  <c r="Q168" i="36"/>
  <c r="Q170" i="36" s="1"/>
  <c r="Q18" i="36" s="1"/>
  <c r="R5" i="36"/>
  <c r="R6" i="36"/>
  <c r="R7" i="36"/>
  <c r="R10" i="36"/>
  <c r="R11" i="36"/>
  <c r="R12" i="36"/>
  <c r="R13" i="36"/>
  <c r="R14" i="36"/>
  <c r="R9" i="36"/>
  <c r="R16" i="36"/>
  <c r="R20" i="36"/>
  <c r="R21" i="36"/>
  <c r="R22" i="36"/>
  <c r="R24" i="36"/>
  <c r="T26" i="36"/>
  <c r="V26" i="36" s="1"/>
  <c r="W26" i="36" s="1"/>
  <c r="O124" i="36"/>
  <c r="P124" i="36"/>
  <c r="Q124" i="36"/>
  <c r="Q116" i="36"/>
  <c r="Q113" i="36"/>
  <c r="Q111" i="36"/>
  <c r="Q109" i="36"/>
  <c r="Q103" i="36"/>
  <c r="Q96" i="36"/>
  <c r="Q89" i="36"/>
  <c r="Q63" i="36"/>
  <c r="Q56" i="36"/>
  <c r="P15" i="36"/>
  <c r="V55" i="36"/>
  <c r="AA55" i="36" s="1"/>
  <c r="AF55" i="36" s="1"/>
  <c r="AK55" i="36" s="1"/>
  <c r="AP55" i="36" s="1"/>
  <c r="AU55" i="36" s="1"/>
  <c r="V88" i="36"/>
  <c r="AA88" i="36" s="1"/>
  <c r="AF88" i="36" s="1"/>
  <c r="V108" i="36"/>
  <c r="AA108" i="36" s="1"/>
  <c r="AF108" i="36" s="1"/>
  <c r="AK108" i="36" s="1"/>
  <c r="AP108" i="36" s="1"/>
  <c r="AU108" i="36" s="1"/>
  <c r="Q59" i="36"/>
  <c r="Q61" i="36" s="1"/>
  <c r="Q70" i="36"/>
  <c r="R78" i="36"/>
  <c r="R87" i="36"/>
  <c r="R88" i="36"/>
  <c r="Q92" i="36"/>
  <c r="Q94" i="36" s="1"/>
  <c r="R93" i="36"/>
  <c r="R95" i="36"/>
  <c r="R97" i="36"/>
  <c r="R99" i="36"/>
  <c r="R100" i="36"/>
  <c r="R104" i="36"/>
  <c r="R108" i="36"/>
  <c r="R110" i="36"/>
  <c r="R112" i="36"/>
  <c r="R114" i="36"/>
  <c r="R115" i="36"/>
  <c r="Q118" i="36"/>
  <c r="Q120" i="36" s="1"/>
  <c r="R119" i="36"/>
  <c r="R123" i="36"/>
  <c r="R125" i="36"/>
  <c r="R126" i="36"/>
  <c r="R127" i="36"/>
  <c r="R128" i="36"/>
  <c r="R129" i="36"/>
  <c r="Q130" i="36"/>
  <c r="Q133" i="36"/>
  <c r="Q134" i="36"/>
  <c r="Q135" i="36"/>
  <c r="Q136" i="36"/>
  <c r="R26" i="36"/>
  <c r="O50" i="36"/>
  <c r="P50" i="36" s="1"/>
  <c r="P52" i="36" s="1"/>
  <c r="P53" i="36" s="1"/>
  <c r="O83" i="36"/>
  <c r="P83" i="36" s="1"/>
  <c r="D63" i="36"/>
  <c r="E63" i="36"/>
  <c r="F63" i="36"/>
  <c r="G63" i="36"/>
  <c r="N96" i="36"/>
  <c r="S181" i="36" s="1"/>
  <c r="O96" i="36"/>
  <c r="T181" i="36" s="1"/>
  <c r="P96" i="36"/>
  <c r="P59" i="36"/>
  <c r="N92" i="36"/>
  <c r="O92" i="36"/>
  <c r="O94" i="36" s="1"/>
  <c r="P92" i="36"/>
  <c r="P101" i="36" s="1"/>
  <c r="D59" i="36"/>
  <c r="D61" i="36" s="1"/>
  <c r="E59" i="36"/>
  <c r="E65" i="36" s="1"/>
  <c r="F59" i="36"/>
  <c r="F68" i="36" s="1"/>
  <c r="G59" i="36"/>
  <c r="G65" i="36" s="1"/>
  <c r="I59" i="36"/>
  <c r="I65" i="36" s="1"/>
  <c r="J59" i="36"/>
  <c r="J61" i="36" s="1"/>
  <c r="K59" i="36"/>
  <c r="K68" i="36" s="1"/>
  <c r="L59" i="36"/>
  <c r="L65" i="36" s="1"/>
  <c r="N59" i="36"/>
  <c r="N61" i="36" s="1"/>
  <c r="O59" i="36"/>
  <c r="O65" i="36" s="1"/>
  <c r="P116" i="36"/>
  <c r="P111" i="36"/>
  <c r="U185" i="36" s="1"/>
  <c r="H8" i="36"/>
  <c r="H15" i="36"/>
  <c r="M5" i="36"/>
  <c r="M6" i="36"/>
  <c r="M7" i="36"/>
  <c r="M10" i="36"/>
  <c r="M11" i="36"/>
  <c r="M12" i="36"/>
  <c r="M13" i="36"/>
  <c r="M14" i="36"/>
  <c r="M9" i="36"/>
  <c r="M16" i="36"/>
  <c r="M21" i="36"/>
  <c r="M22" i="36"/>
  <c r="M20" i="36"/>
  <c r="M24" i="36"/>
  <c r="N8" i="36"/>
  <c r="N15" i="36"/>
  <c r="O8" i="36"/>
  <c r="O15" i="36"/>
  <c r="P8" i="36"/>
  <c r="I8" i="36"/>
  <c r="I15" i="36"/>
  <c r="J8" i="36"/>
  <c r="J15" i="36"/>
  <c r="K8" i="36"/>
  <c r="K15" i="36"/>
  <c r="P155" i="36"/>
  <c r="Q155" i="36"/>
  <c r="S50" i="36"/>
  <c r="S83" i="36"/>
  <c r="X88" i="36"/>
  <c r="AC88" i="36" s="1"/>
  <c r="I168" i="36"/>
  <c r="I170" i="36" s="1"/>
  <c r="I18" i="36" s="1"/>
  <c r="J168" i="36"/>
  <c r="J170" i="36" s="1"/>
  <c r="K163" i="36"/>
  <c r="L168" i="36"/>
  <c r="L170" i="36" s="1"/>
  <c r="L18" i="36" s="1"/>
  <c r="N168" i="36"/>
  <c r="N170" i="36" s="1"/>
  <c r="O168" i="36"/>
  <c r="O170" i="36" s="1"/>
  <c r="P168" i="36"/>
  <c r="P170" i="36" s="1"/>
  <c r="P18" i="36" s="1"/>
  <c r="L8" i="36"/>
  <c r="G9" i="36"/>
  <c r="L15" i="36"/>
  <c r="O41" i="36"/>
  <c r="O74" i="36"/>
  <c r="Z55" i="36"/>
  <c r="AE55" i="36" s="1"/>
  <c r="AJ55" i="36" s="1"/>
  <c r="AO55" i="36" s="1"/>
  <c r="AT55" i="36" s="1"/>
  <c r="Z88" i="36"/>
  <c r="AE88" i="36" s="1"/>
  <c r="Z108" i="36"/>
  <c r="AE108" i="36" s="1"/>
  <c r="AJ108" i="36" s="1"/>
  <c r="AO108" i="36" s="1"/>
  <c r="AT108" i="36" s="1"/>
  <c r="X55" i="36"/>
  <c r="AC55" i="36" s="1"/>
  <c r="AH55" i="36" s="1"/>
  <c r="AM55" i="36" s="1"/>
  <c r="AR55" i="36" s="1"/>
  <c r="X108" i="36"/>
  <c r="AC108" i="36" s="1"/>
  <c r="Y55" i="36"/>
  <c r="AD55" i="36" s="1"/>
  <c r="AI55" i="36" s="1"/>
  <c r="AN55" i="36" s="1"/>
  <c r="AS55" i="36" s="1"/>
  <c r="W20" i="36"/>
  <c r="AB20" i="36"/>
  <c r="AG20" i="36"/>
  <c r="AL20" i="36"/>
  <c r="AQ20" i="36"/>
  <c r="G5" i="36"/>
  <c r="G6" i="36"/>
  <c r="G134" i="36" s="1"/>
  <c r="G7" i="36"/>
  <c r="G135" i="36" s="1"/>
  <c r="F8" i="36"/>
  <c r="E8" i="36"/>
  <c r="D8" i="36"/>
  <c r="G10" i="36"/>
  <c r="G11" i="36"/>
  <c r="G12" i="36"/>
  <c r="G13" i="36"/>
  <c r="G14" i="36"/>
  <c r="G16" i="36"/>
  <c r="G136" i="36" s="1"/>
  <c r="G21" i="36"/>
  <c r="G144" i="36" s="1"/>
  <c r="G22" i="36"/>
  <c r="G145" i="36" s="1"/>
  <c r="G20" i="36"/>
  <c r="G24" i="36"/>
  <c r="F15" i="36"/>
  <c r="E15" i="36"/>
  <c r="D15" i="36"/>
  <c r="M26" i="36"/>
  <c r="P172" i="36"/>
  <c r="P28" i="36" s="1"/>
  <c r="O172" i="36"/>
  <c r="O28" i="36" s="1"/>
  <c r="N172" i="36"/>
  <c r="N28" i="36" s="1"/>
  <c r="K172" i="36"/>
  <c r="K28" i="36" s="1"/>
  <c r="G163" i="36"/>
  <c r="G165" i="36"/>
  <c r="F168" i="36"/>
  <c r="E168" i="36"/>
  <c r="E170" i="36" s="1"/>
  <c r="D163" i="36"/>
  <c r="D164" i="36"/>
  <c r="D165" i="36"/>
  <c r="F171" i="36"/>
  <c r="E171" i="36"/>
  <c r="H166" i="36"/>
  <c r="H167" i="36"/>
  <c r="F161" i="36"/>
  <c r="E161" i="36"/>
  <c r="E158" i="36"/>
  <c r="D157" i="36"/>
  <c r="N155" i="36"/>
  <c r="O155" i="36"/>
  <c r="I155" i="36"/>
  <c r="J155" i="36"/>
  <c r="K155" i="36"/>
  <c r="L155" i="36"/>
  <c r="E155" i="36"/>
  <c r="F154" i="36"/>
  <c r="G155" i="36"/>
  <c r="AQ154" i="36"/>
  <c r="AL154" i="36"/>
  <c r="AG154" i="36"/>
  <c r="AB154" i="36"/>
  <c r="R154" i="36"/>
  <c r="M154" i="36"/>
  <c r="I28" i="36"/>
  <c r="J28" i="36"/>
  <c r="L28" i="36"/>
  <c r="D28" i="36"/>
  <c r="G28" i="36"/>
  <c r="G26" i="36"/>
  <c r="P70" i="36"/>
  <c r="P103" i="36"/>
  <c r="P118" i="36"/>
  <c r="P120" i="36" s="1"/>
  <c r="P130" i="36"/>
  <c r="P131" i="36" s="1"/>
  <c r="O70" i="36"/>
  <c r="O103" i="36"/>
  <c r="O118" i="36"/>
  <c r="O120" i="36" s="1"/>
  <c r="O130" i="36"/>
  <c r="O131" i="36" s="1"/>
  <c r="N70" i="36"/>
  <c r="N103" i="36"/>
  <c r="N118" i="36"/>
  <c r="N130" i="36"/>
  <c r="N131" i="36" s="1"/>
  <c r="L70" i="36"/>
  <c r="L92" i="36"/>
  <c r="L101" i="36" s="1"/>
  <c r="L103" i="36"/>
  <c r="L118" i="36"/>
  <c r="L130" i="36"/>
  <c r="K70" i="36"/>
  <c r="K92" i="36"/>
  <c r="K101" i="36" s="1"/>
  <c r="K103" i="36"/>
  <c r="K118" i="36"/>
  <c r="K120" i="36" s="1"/>
  <c r="K121" i="36" s="1"/>
  <c r="K130" i="36"/>
  <c r="J70" i="36"/>
  <c r="J92" i="36"/>
  <c r="J103" i="36"/>
  <c r="J118" i="36"/>
  <c r="J120" i="36" s="1"/>
  <c r="J121" i="36" s="1"/>
  <c r="J130" i="36"/>
  <c r="I70" i="36"/>
  <c r="I92" i="36"/>
  <c r="I94" i="36" s="1"/>
  <c r="I103" i="36"/>
  <c r="I118" i="36"/>
  <c r="I130" i="36"/>
  <c r="I131" i="36" s="1"/>
  <c r="G70" i="36"/>
  <c r="G92" i="36"/>
  <c r="G98" i="36" s="1"/>
  <c r="G103" i="36"/>
  <c r="G118" i="36"/>
  <c r="G120" i="36" s="1"/>
  <c r="G126" i="36"/>
  <c r="G130" i="36" s="1"/>
  <c r="F70" i="36"/>
  <c r="F92" i="36"/>
  <c r="F101" i="36" s="1"/>
  <c r="F103" i="36"/>
  <c r="F118" i="36"/>
  <c r="F130" i="36"/>
  <c r="E70" i="36"/>
  <c r="E92" i="36"/>
  <c r="E98" i="36" s="1"/>
  <c r="E103" i="36"/>
  <c r="E118" i="36"/>
  <c r="E120" i="36" s="1"/>
  <c r="E121" i="36" s="1"/>
  <c r="E130" i="36"/>
  <c r="E131" i="36" s="1"/>
  <c r="D70" i="36"/>
  <c r="D92" i="36"/>
  <c r="D101" i="36" s="1"/>
  <c r="D103" i="36"/>
  <c r="D118" i="36"/>
  <c r="D120" i="36" s="1"/>
  <c r="D121" i="36" s="1"/>
  <c r="D130" i="36"/>
  <c r="P136" i="36"/>
  <c r="O136" i="36"/>
  <c r="N136" i="36"/>
  <c r="L136" i="36"/>
  <c r="K136" i="36"/>
  <c r="J136" i="36"/>
  <c r="I136" i="36"/>
  <c r="F136" i="36"/>
  <c r="E136" i="36"/>
  <c r="D136" i="36"/>
  <c r="P135" i="36"/>
  <c r="O135" i="36"/>
  <c r="N135" i="36"/>
  <c r="L135" i="36"/>
  <c r="K135" i="36"/>
  <c r="J135" i="36"/>
  <c r="I135" i="36"/>
  <c r="F135" i="36"/>
  <c r="E135" i="36"/>
  <c r="D135" i="36"/>
  <c r="P134" i="36"/>
  <c r="O134" i="36"/>
  <c r="N134" i="36"/>
  <c r="L134" i="36"/>
  <c r="K134" i="36"/>
  <c r="J134" i="36"/>
  <c r="I134" i="36"/>
  <c r="F134" i="36"/>
  <c r="E134" i="36"/>
  <c r="D134" i="36"/>
  <c r="P133" i="36"/>
  <c r="O133" i="36"/>
  <c r="N133" i="36"/>
  <c r="L133" i="36"/>
  <c r="K133" i="36"/>
  <c r="J133" i="36"/>
  <c r="I133" i="36"/>
  <c r="F133" i="36"/>
  <c r="E133" i="36"/>
  <c r="D133" i="36"/>
  <c r="M123" i="36"/>
  <c r="M125" i="36"/>
  <c r="M126" i="36"/>
  <c r="M127" i="36"/>
  <c r="M128" i="36"/>
  <c r="M129" i="36"/>
  <c r="N124" i="36"/>
  <c r="H123" i="36"/>
  <c r="L124" i="36"/>
  <c r="K124" i="36"/>
  <c r="J124" i="36"/>
  <c r="I124" i="36"/>
  <c r="W117" i="36"/>
  <c r="R117" i="36"/>
  <c r="M108" i="36"/>
  <c r="M110" i="36"/>
  <c r="M112" i="36"/>
  <c r="M114" i="36"/>
  <c r="M115" i="36"/>
  <c r="M117" i="36"/>
  <c r="M119" i="36"/>
  <c r="H108" i="36"/>
  <c r="H110" i="36"/>
  <c r="H112" i="36"/>
  <c r="H114" i="36"/>
  <c r="H115" i="36"/>
  <c r="H117" i="36"/>
  <c r="H119" i="36"/>
  <c r="O116" i="36"/>
  <c r="T187" i="36" s="1"/>
  <c r="N116" i="36"/>
  <c r="S187" i="36" s="1"/>
  <c r="L116" i="36"/>
  <c r="K116" i="36"/>
  <c r="J116" i="36"/>
  <c r="I116" i="36"/>
  <c r="G116" i="36"/>
  <c r="F116" i="36"/>
  <c r="E116" i="36"/>
  <c r="D116" i="36"/>
  <c r="P113" i="36"/>
  <c r="U186" i="36" s="1"/>
  <c r="O113" i="36"/>
  <c r="T186" i="36" s="1"/>
  <c r="N113" i="36"/>
  <c r="S186" i="36" s="1"/>
  <c r="L113" i="36"/>
  <c r="K113" i="36"/>
  <c r="J113" i="36"/>
  <c r="I113" i="36"/>
  <c r="G113" i="36"/>
  <c r="F113" i="36"/>
  <c r="E113" i="36"/>
  <c r="D113" i="36"/>
  <c r="O111" i="36"/>
  <c r="T185" i="36" s="1"/>
  <c r="N111" i="36"/>
  <c r="S185" i="36" s="1"/>
  <c r="L111" i="36"/>
  <c r="K111" i="36"/>
  <c r="J111" i="36"/>
  <c r="I111" i="36"/>
  <c r="G111" i="36"/>
  <c r="F111" i="36"/>
  <c r="E111" i="36"/>
  <c r="D111" i="36"/>
  <c r="P109" i="36"/>
  <c r="O109" i="36"/>
  <c r="N109" i="36"/>
  <c r="L109" i="36"/>
  <c r="K109" i="36"/>
  <c r="J109" i="36"/>
  <c r="I109" i="36"/>
  <c r="M104" i="36"/>
  <c r="H104" i="36"/>
  <c r="W102" i="36"/>
  <c r="R102" i="36"/>
  <c r="M93" i="36"/>
  <c r="M95" i="36"/>
  <c r="M97" i="36"/>
  <c r="M99" i="36"/>
  <c r="M100" i="36"/>
  <c r="M102" i="36"/>
  <c r="H93" i="36"/>
  <c r="H95" i="36"/>
  <c r="H97" i="36"/>
  <c r="H99" i="36"/>
  <c r="H100" i="36"/>
  <c r="H102" i="36"/>
  <c r="M78" i="36"/>
  <c r="L96" i="36"/>
  <c r="K96" i="36"/>
  <c r="J96" i="36"/>
  <c r="I96" i="36"/>
  <c r="H78" i="36"/>
  <c r="G96" i="36"/>
  <c r="F96" i="36"/>
  <c r="E96" i="36"/>
  <c r="D96" i="36"/>
  <c r="W84" i="36"/>
  <c r="W75" i="36"/>
  <c r="V91" i="36"/>
  <c r="U91" i="36"/>
  <c r="T91" i="36"/>
  <c r="S91" i="36"/>
  <c r="R84" i="36"/>
  <c r="R75" i="36"/>
  <c r="Q91" i="36"/>
  <c r="P91" i="36"/>
  <c r="O91" i="36"/>
  <c r="N91" i="36"/>
  <c r="I84" i="36"/>
  <c r="J84" i="36"/>
  <c r="K84" i="36"/>
  <c r="I75" i="36"/>
  <c r="J75" i="36"/>
  <c r="K75" i="36"/>
  <c r="L75" i="36"/>
  <c r="D84" i="36"/>
  <c r="E84" i="36"/>
  <c r="F84" i="36"/>
  <c r="G84" i="36"/>
  <c r="D75" i="36"/>
  <c r="E75" i="36"/>
  <c r="F75" i="36"/>
  <c r="G75" i="36"/>
  <c r="N90" i="36"/>
  <c r="L90" i="36"/>
  <c r="K90" i="36"/>
  <c r="J90" i="36"/>
  <c r="I90" i="36"/>
  <c r="G90" i="36"/>
  <c r="F90" i="36"/>
  <c r="E90" i="36"/>
  <c r="D90" i="36"/>
  <c r="P89" i="36"/>
  <c r="O89" i="36"/>
  <c r="N89" i="36"/>
  <c r="L89" i="36"/>
  <c r="K89" i="36"/>
  <c r="J89" i="36"/>
  <c r="I89" i="36"/>
  <c r="M88" i="36"/>
  <c r="H88" i="36"/>
  <c r="M87" i="36"/>
  <c r="H87" i="36"/>
  <c r="N85" i="36"/>
  <c r="L85" i="36"/>
  <c r="K85" i="36"/>
  <c r="K86" i="36" s="1"/>
  <c r="J85" i="36"/>
  <c r="I85" i="36"/>
  <c r="G85" i="36"/>
  <c r="F85" i="36"/>
  <c r="F86" i="36" s="1"/>
  <c r="E85" i="36"/>
  <c r="D85" i="36"/>
  <c r="R83" i="36"/>
  <c r="M83" i="36"/>
  <c r="H83" i="36"/>
  <c r="M74" i="36"/>
  <c r="H74" i="36"/>
  <c r="W69" i="36"/>
  <c r="H70" i="36"/>
  <c r="P63" i="36"/>
  <c r="O63" i="36"/>
  <c r="N63" i="36"/>
  <c r="L63" i="36"/>
  <c r="K63" i="36"/>
  <c r="J63" i="36"/>
  <c r="I63" i="36"/>
  <c r="S58" i="36"/>
  <c r="Q58" i="36"/>
  <c r="P58" i="36"/>
  <c r="O58" i="36"/>
  <c r="N58" i="36"/>
  <c r="I51" i="36"/>
  <c r="J51" i="36"/>
  <c r="K51" i="36"/>
  <c r="I42" i="36"/>
  <c r="J42" i="36"/>
  <c r="K42" i="36"/>
  <c r="L42" i="36"/>
  <c r="D51" i="36"/>
  <c r="E51" i="36"/>
  <c r="F51" i="36"/>
  <c r="G51" i="36"/>
  <c r="D42" i="36"/>
  <c r="E42" i="36"/>
  <c r="F42" i="36"/>
  <c r="G42" i="36"/>
  <c r="N57" i="36"/>
  <c r="L57" i="36"/>
  <c r="K57" i="36"/>
  <c r="J57" i="36"/>
  <c r="I57" i="36"/>
  <c r="G57" i="36"/>
  <c r="F57" i="36"/>
  <c r="E57" i="36"/>
  <c r="D57" i="36"/>
  <c r="P56" i="36"/>
  <c r="O56" i="36"/>
  <c r="N56" i="36"/>
  <c r="L56" i="36"/>
  <c r="K56" i="36"/>
  <c r="J56" i="36"/>
  <c r="I56" i="36"/>
  <c r="N52" i="36"/>
  <c r="N53" i="36" s="1"/>
  <c r="L52" i="36"/>
  <c r="K52" i="36"/>
  <c r="J52" i="36"/>
  <c r="J53" i="36" s="1"/>
  <c r="I52" i="36"/>
  <c r="I53" i="36" s="1"/>
  <c r="G52" i="36"/>
  <c r="F52" i="36"/>
  <c r="E52" i="36"/>
  <c r="E53" i="36" s="1"/>
  <c r="D52" i="36"/>
  <c r="D53" i="36" s="1"/>
  <c r="H45" i="36"/>
  <c r="L35" i="36"/>
  <c r="H35" i="36"/>
  <c r="AE96" i="36" l="1"/>
  <c r="Z181" i="36"/>
  <c r="AE116" i="36"/>
  <c r="Z187" i="36"/>
  <c r="AD116" i="36"/>
  <c r="Y187" i="36"/>
  <c r="V96" i="36"/>
  <c r="Q181" i="36"/>
  <c r="AA69" i="36"/>
  <c r="AB69" i="36" s="1"/>
  <c r="AE113" i="36"/>
  <c r="Z186" i="36"/>
  <c r="AA117" i="36"/>
  <c r="Q180" i="36"/>
  <c r="V94" i="36"/>
  <c r="V111" i="36"/>
  <c r="Q185" i="36"/>
  <c r="Z185" i="36"/>
  <c r="AE111" i="36"/>
  <c r="Q186" i="36"/>
  <c r="V113" i="36"/>
  <c r="AC111" i="36"/>
  <c r="X185" i="36"/>
  <c r="Q187" i="36"/>
  <c r="V116" i="36"/>
  <c r="AD111" i="36"/>
  <c r="Y185" i="36"/>
  <c r="AC116" i="36"/>
  <c r="X187" i="36"/>
  <c r="AD113" i="36"/>
  <c r="Y186" i="36"/>
  <c r="Y181" i="36"/>
  <c r="AD96" i="36"/>
  <c r="AC96" i="36"/>
  <c r="X181" i="36"/>
  <c r="AC113" i="36"/>
  <c r="X186" i="36"/>
  <c r="AD163" i="36"/>
  <c r="AE163" i="36" s="1"/>
  <c r="AF163" i="36" s="1"/>
  <c r="AH163" i="36" s="1"/>
  <c r="AC102" i="36"/>
  <c r="AD102" i="36" s="1"/>
  <c r="AE102" i="36" s="1"/>
  <c r="AF102" i="36" s="1"/>
  <c r="AA129" i="36"/>
  <c r="AC129" i="36" s="1"/>
  <c r="AD129" i="36" s="1"/>
  <c r="AE129" i="36" s="1"/>
  <c r="AF129" i="36" s="1"/>
  <c r="AB102" i="36"/>
  <c r="G152" i="36"/>
  <c r="G151" i="36"/>
  <c r="E151" i="36"/>
  <c r="E152" i="36"/>
  <c r="K151" i="36"/>
  <c r="K152" i="36"/>
  <c r="J152" i="36"/>
  <c r="J151" i="36"/>
  <c r="I151" i="36"/>
  <c r="I152" i="36"/>
  <c r="O53" i="39"/>
  <c r="O56" i="39"/>
  <c r="N53" i="39"/>
  <c r="N56" i="39"/>
  <c r="H56" i="39"/>
  <c r="H53" i="39"/>
  <c r="D53" i="39"/>
  <c r="D56" i="39"/>
  <c r="N35" i="36"/>
  <c r="R35" i="36" s="1"/>
  <c r="E53" i="39"/>
  <c r="E56" i="39"/>
  <c r="F56" i="39"/>
  <c r="F53" i="39"/>
  <c r="K56" i="39"/>
  <c r="K53" i="39"/>
  <c r="L56" i="39"/>
  <c r="L53" i="39"/>
  <c r="J56" i="39"/>
  <c r="J53" i="39"/>
  <c r="Q53" i="39"/>
  <c r="Q56" i="39"/>
  <c r="I56" i="39"/>
  <c r="I53" i="39"/>
  <c r="P53" i="39"/>
  <c r="P56" i="39"/>
  <c r="AH108" i="36"/>
  <c r="AM108" i="36" s="1"/>
  <c r="AR108" i="36" s="1"/>
  <c r="AH88" i="36"/>
  <c r="AJ88" i="36"/>
  <c r="AK88" i="36"/>
  <c r="Q151" i="36"/>
  <c r="Q152" i="36"/>
  <c r="P151" i="36"/>
  <c r="P152" i="36"/>
  <c r="O151" i="36"/>
  <c r="O152" i="36"/>
  <c r="N152" i="36"/>
  <c r="N151" i="36"/>
  <c r="L152" i="36"/>
  <c r="L151" i="36"/>
  <c r="L94" i="36"/>
  <c r="P74" i="36"/>
  <c r="Q74" i="36" s="1"/>
  <c r="O76" i="36"/>
  <c r="O77" i="36" s="1"/>
  <c r="K65" i="36"/>
  <c r="O85" i="36"/>
  <c r="O86" i="36" s="1"/>
  <c r="O43" i="36"/>
  <c r="O44" i="36" s="1"/>
  <c r="L98" i="36"/>
  <c r="F65" i="36"/>
  <c r="K105" i="36"/>
  <c r="K106" i="36" s="1"/>
  <c r="E71" i="36"/>
  <c r="E72" i="36" s="1"/>
  <c r="D98" i="36"/>
  <c r="D94" i="36"/>
  <c r="M35" i="36"/>
  <c r="O52" i="36"/>
  <c r="O53" i="36" s="1"/>
  <c r="J65" i="36"/>
  <c r="O57" i="36"/>
  <c r="K91" i="36"/>
  <c r="J140" i="36"/>
  <c r="I91" i="36"/>
  <c r="E101" i="36"/>
  <c r="Q85" i="36"/>
  <c r="Q86" i="36" s="1"/>
  <c r="V86" i="36" s="1"/>
  <c r="AA86" i="36" s="1"/>
  <c r="AF86" i="36" s="1"/>
  <c r="AK86" i="36" s="1"/>
  <c r="AP86" i="36" s="1"/>
  <c r="AU86" i="36" s="1"/>
  <c r="P85" i="36"/>
  <c r="P86" i="36" s="1"/>
  <c r="E58" i="36"/>
  <c r="O90" i="36"/>
  <c r="M113" i="36"/>
  <c r="D71" i="36"/>
  <c r="D72" i="36" s="1"/>
  <c r="O140" i="36"/>
  <c r="N140" i="36"/>
  <c r="D65" i="36"/>
  <c r="F17" i="36"/>
  <c r="F141" i="36" s="1"/>
  <c r="V123" i="36"/>
  <c r="V7" i="36" s="1"/>
  <c r="V135" i="36" s="1"/>
  <c r="D68" i="36"/>
  <c r="Q71" i="36"/>
  <c r="Q72" i="36" s="1"/>
  <c r="Q17" i="36"/>
  <c r="Q141" i="36" s="1"/>
  <c r="N65" i="36"/>
  <c r="F94" i="36"/>
  <c r="F98" i="36"/>
  <c r="K98" i="36"/>
  <c r="I140" i="36"/>
  <c r="K140" i="36"/>
  <c r="L71" i="36"/>
  <c r="L72" i="36" s="1"/>
  <c r="G168" i="36"/>
  <c r="G170" i="36" s="1"/>
  <c r="R96" i="36"/>
  <c r="F58" i="36"/>
  <c r="P140" i="36"/>
  <c r="K94" i="36"/>
  <c r="J71" i="36"/>
  <c r="J72" i="36" s="1"/>
  <c r="R8" i="36"/>
  <c r="E173" i="36"/>
  <c r="E18" i="36"/>
  <c r="M155" i="36"/>
  <c r="P71" i="36"/>
  <c r="P72" i="36" s="1"/>
  <c r="R155" i="36"/>
  <c r="M84" i="36"/>
  <c r="K58" i="36"/>
  <c r="J58" i="36"/>
  <c r="D91" i="36"/>
  <c r="H165" i="36"/>
  <c r="N105" i="36"/>
  <c r="N106" i="36" s="1"/>
  <c r="P61" i="36"/>
  <c r="N17" i="36"/>
  <c r="N141" i="36" s="1"/>
  <c r="Q28" i="36"/>
  <c r="R28" i="36" s="1"/>
  <c r="O17" i="36"/>
  <c r="O141" i="36" s="1"/>
  <c r="F61" i="36"/>
  <c r="K17" i="36"/>
  <c r="K141" i="36" s="1"/>
  <c r="H111" i="36"/>
  <c r="H113" i="36"/>
  <c r="H59" i="36"/>
  <c r="P98" i="36"/>
  <c r="M109" i="36"/>
  <c r="M8" i="36"/>
  <c r="H116" i="36"/>
  <c r="G101" i="36"/>
  <c r="Q105" i="36"/>
  <c r="Q106" i="36" s="1"/>
  <c r="H92" i="36"/>
  <c r="H98" i="36" s="1"/>
  <c r="M15" i="36"/>
  <c r="G94" i="36"/>
  <c r="E17" i="36"/>
  <c r="E23" i="36" s="1"/>
  <c r="R15" i="36"/>
  <c r="H51" i="36"/>
  <c r="E86" i="36"/>
  <c r="M124" i="36"/>
  <c r="F105" i="36"/>
  <c r="L120" i="36"/>
  <c r="D17" i="36"/>
  <c r="P41" i="36"/>
  <c r="G15" i="36"/>
  <c r="E94" i="36"/>
  <c r="R109" i="36"/>
  <c r="F53" i="36"/>
  <c r="H84" i="36"/>
  <c r="I101" i="36"/>
  <c r="F71" i="36"/>
  <c r="I120" i="36"/>
  <c r="O105" i="36"/>
  <c r="L173" i="36"/>
  <c r="G86" i="36"/>
  <c r="J101" i="36"/>
  <c r="M116" i="36"/>
  <c r="O121" i="36"/>
  <c r="M130" i="36"/>
  <c r="H154" i="36"/>
  <c r="G53" i="36"/>
  <c r="I58" i="36"/>
  <c r="P121" i="36"/>
  <c r="I105" i="36"/>
  <c r="K131" i="36"/>
  <c r="O71" i="36"/>
  <c r="M28" i="36"/>
  <c r="F170" i="36"/>
  <c r="N173" i="36"/>
  <c r="W55" i="36"/>
  <c r="D58" i="36"/>
  <c r="I86" i="36"/>
  <c r="M92" i="36"/>
  <c r="M98" i="36" s="1"/>
  <c r="E105" i="36"/>
  <c r="G131" i="36"/>
  <c r="G8" i="36"/>
  <c r="Q140" i="36"/>
  <c r="S85" i="36"/>
  <c r="S86" i="36" s="1"/>
  <c r="T83" i="36"/>
  <c r="J94" i="36"/>
  <c r="H103" i="36"/>
  <c r="H164" i="36"/>
  <c r="AB55" i="36"/>
  <c r="Y108" i="36"/>
  <c r="AD108" i="36" s="1"/>
  <c r="AI108" i="36" s="1"/>
  <c r="AN108" i="36" s="1"/>
  <c r="AS108" i="36" s="1"/>
  <c r="L58" i="36"/>
  <c r="J86" i="36"/>
  <c r="D131" i="36"/>
  <c r="I71" i="36"/>
  <c r="N120" i="36"/>
  <c r="H163" i="36"/>
  <c r="O173" i="36"/>
  <c r="G58" i="36"/>
  <c r="J91" i="36"/>
  <c r="I61" i="36"/>
  <c r="I68" i="36"/>
  <c r="E91" i="36"/>
  <c r="I98" i="36"/>
  <c r="G121" i="36"/>
  <c r="R124" i="36"/>
  <c r="O18" i="36"/>
  <c r="G61" i="36"/>
  <c r="G68" i="36"/>
  <c r="K53" i="36"/>
  <c r="H42" i="36"/>
  <c r="F91" i="36"/>
  <c r="L91" i="36"/>
  <c r="J98" i="36"/>
  <c r="M111" i="36"/>
  <c r="G105" i="36"/>
  <c r="J131" i="36"/>
  <c r="P105" i="36"/>
  <c r="N18" i="36"/>
  <c r="P173" i="36"/>
  <c r="L17" i="36"/>
  <c r="G91" i="36"/>
  <c r="M75" i="36"/>
  <c r="M118" i="36"/>
  <c r="D105" i="36"/>
  <c r="F131" i="36"/>
  <c r="K71" i="36"/>
  <c r="N71" i="36"/>
  <c r="F28" i="36"/>
  <c r="I173" i="36"/>
  <c r="E28" i="36"/>
  <c r="D168" i="36"/>
  <c r="J17" i="36"/>
  <c r="D86" i="36"/>
  <c r="H75" i="36"/>
  <c r="H96" i="36"/>
  <c r="H118" i="36"/>
  <c r="G133" i="36"/>
  <c r="F120" i="36"/>
  <c r="G71" i="36"/>
  <c r="L131" i="36"/>
  <c r="J18" i="36"/>
  <c r="F155" i="36"/>
  <c r="D158" i="36"/>
  <c r="J173" i="36"/>
  <c r="K168" i="36"/>
  <c r="J105" i="36"/>
  <c r="E61" i="36"/>
  <c r="O101" i="36"/>
  <c r="I17" i="36"/>
  <c r="H17" i="36"/>
  <c r="P94" i="36"/>
  <c r="N101" i="36"/>
  <c r="O98" i="36"/>
  <c r="P68" i="36"/>
  <c r="E68" i="36"/>
  <c r="Q52" i="36"/>
  <c r="Q53" i="36" s="1"/>
  <c r="V53" i="36" s="1"/>
  <c r="W88" i="36"/>
  <c r="N94" i="36"/>
  <c r="O68" i="36"/>
  <c r="N98" i="36"/>
  <c r="O61" i="36"/>
  <c r="N68" i="36"/>
  <c r="P65" i="36"/>
  <c r="Y88" i="36"/>
  <c r="P17" i="36"/>
  <c r="K61" i="36"/>
  <c r="J68" i="36"/>
  <c r="X26" i="36"/>
  <c r="Q173" i="36"/>
  <c r="T136" i="36"/>
  <c r="W108" i="36"/>
  <c r="W91" i="36"/>
  <c r="R91" i="36"/>
  <c r="L86" i="36"/>
  <c r="N86" i="36"/>
  <c r="W51" i="36"/>
  <c r="S52" i="36"/>
  <c r="S53" i="36" s="1"/>
  <c r="T50" i="36"/>
  <c r="T52" i="36" s="1"/>
  <c r="T53" i="36" s="1"/>
  <c r="Y53" i="36" s="1"/>
  <c r="L53" i="36"/>
  <c r="S168" i="36"/>
  <c r="R130" i="36"/>
  <c r="Q131" i="36"/>
  <c r="R116" i="36"/>
  <c r="R113" i="36"/>
  <c r="R118" i="36"/>
  <c r="R120" i="36" s="1"/>
  <c r="R111" i="36"/>
  <c r="Q121" i="36"/>
  <c r="R103" i="36"/>
  <c r="R92" i="36"/>
  <c r="Q98" i="36"/>
  <c r="Q101" i="36"/>
  <c r="M96" i="36"/>
  <c r="M103" i="36"/>
  <c r="L105" i="36"/>
  <c r="Q65" i="36"/>
  <c r="Q68" i="36"/>
  <c r="L61" i="36"/>
  <c r="L68" i="36"/>
  <c r="AC117" i="36" l="1"/>
  <c r="AB117" i="36"/>
  <c r="AE186" i="36"/>
  <c r="AJ113" i="36"/>
  <c r="AC187" i="36"/>
  <c r="AH116" i="36"/>
  <c r="AD185" i="36"/>
  <c r="AI111" i="36"/>
  <c r="V187" i="36"/>
  <c r="AA116" i="36"/>
  <c r="AC69" i="36"/>
  <c r="AD69" i="36" s="1"/>
  <c r="AE69" i="36" s="1"/>
  <c r="AF69" i="36" s="1"/>
  <c r="AA96" i="36"/>
  <c r="V181" i="36"/>
  <c r="AH69" i="36"/>
  <c r="AI69" i="36" s="1"/>
  <c r="AJ69" i="36" s="1"/>
  <c r="AK69" i="36" s="1"/>
  <c r="AC185" i="36"/>
  <c r="AH111" i="36"/>
  <c r="V180" i="36"/>
  <c r="AA94" i="36"/>
  <c r="V186" i="36"/>
  <c r="AA113" i="36"/>
  <c r="AD187" i="36"/>
  <c r="AI116" i="36"/>
  <c r="AH113" i="36"/>
  <c r="AC186" i="36"/>
  <c r="AJ111" i="36"/>
  <c r="AE185" i="36"/>
  <c r="AE187" i="36"/>
  <c r="AJ116" i="36"/>
  <c r="V185" i="36"/>
  <c r="AA111" i="36"/>
  <c r="AI113" i="36"/>
  <c r="AD186" i="36"/>
  <c r="Q182" i="36"/>
  <c r="V98" i="36"/>
  <c r="AH96" i="36"/>
  <c r="AC181" i="36"/>
  <c r="Q183" i="36"/>
  <c r="V101" i="36"/>
  <c r="AI96" i="36"/>
  <c r="AD181" i="36"/>
  <c r="AJ96" i="36"/>
  <c r="AE181" i="36"/>
  <c r="AI163" i="36"/>
  <c r="AJ163" i="36" s="1"/>
  <c r="AK163" i="36" s="1"/>
  <c r="AM163" i="36" s="1"/>
  <c r="AH129" i="36"/>
  <c r="AI129" i="36" s="1"/>
  <c r="AJ129" i="36" s="1"/>
  <c r="AK129" i="36" s="1"/>
  <c r="AH102" i="36"/>
  <c r="AI102" i="36" s="1"/>
  <c r="AJ102" i="36" s="1"/>
  <c r="AK102" i="36" s="1"/>
  <c r="X86" i="36"/>
  <c r="AC86" i="36" s="1"/>
  <c r="AH86" i="36" s="1"/>
  <c r="AM86" i="36" s="1"/>
  <c r="AR86" i="36" s="1"/>
  <c r="R82" i="36"/>
  <c r="AD53" i="36"/>
  <c r="AI53" i="36" s="1"/>
  <c r="AN53" i="36" s="1"/>
  <c r="AS53" i="36" s="1"/>
  <c r="X53" i="36"/>
  <c r="AC53" i="36" s="1"/>
  <c r="AH53" i="36" s="1"/>
  <c r="AM53" i="36" s="1"/>
  <c r="AR53" i="36" s="1"/>
  <c r="AA53" i="36"/>
  <c r="AF53" i="36" s="1"/>
  <c r="F151" i="36"/>
  <c r="F152" i="36"/>
  <c r="M140" i="36"/>
  <c r="M53" i="39"/>
  <c r="M56" i="39"/>
  <c r="R53" i="39"/>
  <c r="R56" i="39"/>
  <c r="G56" i="39"/>
  <c r="G53" i="39"/>
  <c r="AB88" i="36"/>
  <c r="AD88" i="36"/>
  <c r="AP88" i="36"/>
  <c r="AO88" i="36"/>
  <c r="AM88" i="36"/>
  <c r="H155" i="36"/>
  <c r="P76" i="36"/>
  <c r="P77" i="36" s="1"/>
  <c r="U83" i="36"/>
  <c r="U85" i="36" s="1"/>
  <c r="T85" i="36"/>
  <c r="T86" i="36" s="1"/>
  <c r="S74" i="36"/>
  <c r="S76" i="36" s="1"/>
  <c r="S77" i="36" s="1"/>
  <c r="X77" i="36" s="1"/>
  <c r="P90" i="36"/>
  <c r="Q76" i="36"/>
  <c r="Q77" i="36" s="1"/>
  <c r="V77" i="36" s="1"/>
  <c r="AA77" i="36" s="1"/>
  <c r="AF77" i="36" s="1"/>
  <c r="AK77" i="36" s="1"/>
  <c r="AP77" i="36" s="1"/>
  <c r="AU77" i="36" s="1"/>
  <c r="F23" i="36"/>
  <c r="F143" i="36" s="1"/>
  <c r="P43" i="36"/>
  <c r="P44" i="36" s="1"/>
  <c r="N23" i="36"/>
  <c r="N25" i="36" s="1"/>
  <c r="M101" i="36"/>
  <c r="M94" i="36"/>
  <c r="W123" i="36"/>
  <c r="R74" i="36"/>
  <c r="Q90" i="36"/>
  <c r="W90" i="36" s="1"/>
  <c r="R17" i="36"/>
  <c r="Q23" i="36"/>
  <c r="Q25" i="36" s="1"/>
  <c r="M91" i="36"/>
  <c r="Q19" i="36"/>
  <c r="Q29" i="36" s="1"/>
  <c r="H94" i="36"/>
  <c r="K23" i="36"/>
  <c r="K25" i="36" s="1"/>
  <c r="O23" i="36"/>
  <c r="O25" i="36" s="1"/>
  <c r="P137" i="36"/>
  <c r="AB108" i="36"/>
  <c r="AB109" i="36" s="1"/>
  <c r="R140" i="36"/>
  <c r="D137" i="36"/>
  <c r="R105" i="36"/>
  <c r="R106" i="36" s="1"/>
  <c r="M17" i="36"/>
  <c r="H101" i="36"/>
  <c r="E19" i="36"/>
  <c r="E142" i="36" s="1"/>
  <c r="E141" i="36"/>
  <c r="L137" i="36"/>
  <c r="H28" i="36"/>
  <c r="P23" i="36"/>
  <c r="P141" i="36"/>
  <c r="P19" i="36"/>
  <c r="H23" i="36"/>
  <c r="H141" i="36"/>
  <c r="K170" i="36"/>
  <c r="J141" i="36"/>
  <c r="J19" i="36"/>
  <c r="J23" i="36"/>
  <c r="G173" i="36"/>
  <c r="G18" i="36"/>
  <c r="G17" i="36"/>
  <c r="G137" i="36" s="1"/>
  <c r="L121" i="36"/>
  <c r="N72" i="36"/>
  <c r="N137" i="36"/>
  <c r="H168" i="36"/>
  <c r="F173" i="36"/>
  <c r="F18" i="36"/>
  <c r="F106" i="36"/>
  <c r="K72" i="36"/>
  <c r="K137" i="36"/>
  <c r="E137" i="36"/>
  <c r="E106" i="36"/>
  <c r="O137" i="36"/>
  <c r="O72" i="36"/>
  <c r="O106" i="36"/>
  <c r="D106" i="36"/>
  <c r="H105" i="36"/>
  <c r="R18" i="36"/>
  <c r="N121" i="36"/>
  <c r="I121" i="36"/>
  <c r="Q41" i="36"/>
  <c r="P57" i="36"/>
  <c r="M131" i="36"/>
  <c r="I23" i="36"/>
  <c r="I141" i="36"/>
  <c r="I19" i="36"/>
  <c r="G72" i="36"/>
  <c r="M120" i="36"/>
  <c r="P106" i="36"/>
  <c r="I72" i="36"/>
  <c r="I137" i="36"/>
  <c r="I106" i="36"/>
  <c r="F72" i="36"/>
  <c r="F137" i="36"/>
  <c r="H58" i="36"/>
  <c r="R131" i="36"/>
  <c r="Y26" i="36"/>
  <c r="J137" i="36"/>
  <c r="J106" i="36"/>
  <c r="F121" i="36"/>
  <c r="H120" i="36"/>
  <c r="N19" i="36"/>
  <c r="Q137" i="36"/>
  <c r="S136" i="36"/>
  <c r="G106" i="36"/>
  <c r="E25" i="36"/>
  <c r="E143" i="36"/>
  <c r="H91" i="36"/>
  <c r="D170" i="36"/>
  <c r="D23" i="36"/>
  <c r="D141" i="36"/>
  <c r="H71" i="36"/>
  <c r="L140" i="36"/>
  <c r="L141" i="36"/>
  <c r="L23" i="36"/>
  <c r="L19" i="36"/>
  <c r="X35" i="36"/>
  <c r="O19" i="36"/>
  <c r="W35" i="36"/>
  <c r="W109" i="36"/>
  <c r="T135" i="36"/>
  <c r="S135" i="36"/>
  <c r="S92" i="36"/>
  <c r="T58" i="36"/>
  <c r="U50" i="36"/>
  <c r="S170" i="36"/>
  <c r="S173" i="36" s="1"/>
  <c r="W128" i="36"/>
  <c r="R121" i="36"/>
  <c r="AG108" i="36"/>
  <c r="W104" i="36"/>
  <c r="R101" i="36"/>
  <c r="R98" i="36"/>
  <c r="R94" i="36"/>
  <c r="M105" i="36"/>
  <c r="M106" i="36" s="1"/>
  <c r="L106" i="36"/>
  <c r="AG55" i="36"/>
  <c r="AG69" i="36" l="1"/>
  <c r="AM69" i="36"/>
  <c r="AO116" i="36"/>
  <c r="AJ187" i="36"/>
  <c r="AF96" i="36"/>
  <c r="AA181" i="36"/>
  <c r="AF111" i="36"/>
  <c r="AA185" i="36"/>
  <c r="AA187" i="36"/>
  <c r="AF116" i="36"/>
  <c r="AJ181" i="36"/>
  <c r="AO96" i="36"/>
  <c r="AJ185" i="36"/>
  <c r="AO111" i="36"/>
  <c r="AI185" i="36"/>
  <c r="AN111" i="36"/>
  <c r="AI181" i="36"/>
  <c r="AN96" i="36"/>
  <c r="AH186" i="36"/>
  <c r="AM113" i="36"/>
  <c r="V183" i="36"/>
  <c r="AA101" i="36"/>
  <c r="AN116" i="36"/>
  <c r="AI187" i="36"/>
  <c r="AH187" i="36"/>
  <c r="AM116" i="36"/>
  <c r="AM111" i="36"/>
  <c r="AH185" i="36"/>
  <c r="AM96" i="36"/>
  <c r="AH181" i="36"/>
  <c r="AA186" i="36"/>
  <c r="AF113" i="36"/>
  <c r="V182" i="36"/>
  <c r="AA98" i="36"/>
  <c r="AA180" i="36"/>
  <c r="AF94" i="36"/>
  <c r="AI186" i="36"/>
  <c r="AN113" i="36"/>
  <c r="AJ186" i="36"/>
  <c r="AO113" i="36"/>
  <c r="AD117" i="36"/>
  <c r="AE117" i="36" s="1"/>
  <c r="AF117" i="36" s="1"/>
  <c r="AH117" i="36" s="1"/>
  <c r="AL69" i="36"/>
  <c r="AN163" i="36"/>
  <c r="AO163" i="36" s="1"/>
  <c r="AP163" i="36" s="1"/>
  <c r="AR163" i="36" s="1"/>
  <c r="AM129" i="36"/>
  <c r="AN129" i="36" s="1"/>
  <c r="AO129" i="36" s="1"/>
  <c r="AP129" i="36" s="1"/>
  <c r="AM102" i="36"/>
  <c r="AN102" i="36" s="1"/>
  <c r="AO102" i="36" s="1"/>
  <c r="AP102" i="36" s="1"/>
  <c r="AG102" i="36"/>
  <c r="Y86" i="36"/>
  <c r="AD86" i="36" s="1"/>
  <c r="AI86" i="36" s="1"/>
  <c r="AN86" i="36" s="1"/>
  <c r="AS86" i="36" s="1"/>
  <c r="AC77" i="36"/>
  <c r="AH77" i="36" s="1"/>
  <c r="AM77" i="36" s="1"/>
  <c r="AR77" i="36" s="1"/>
  <c r="AK53" i="36"/>
  <c r="AP53" i="36" s="1"/>
  <c r="AU53" i="36" s="1"/>
  <c r="AU88" i="36"/>
  <c r="AR88" i="36"/>
  <c r="AT88" i="36"/>
  <c r="AI88" i="36"/>
  <c r="AG88" i="36"/>
  <c r="S90" i="36"/>
  <c r="V83" i="36"/>
  <c r="W83" i="36" s="1"/>
  <c r="F25" i="36"/>
  <c r="T74" i="36"/>
  <c r="T76" i="36" s="1"/>
  <c r="T77" i="36" s="1"/>
  <c r="Y77" i="36" s="1"/>
  <c r="K143" i="36"/>
  <c r="Q43" i="36"/>
  <c r="Q44" i="36" s="1"/>
  <c r="V44" i="36" s="1"/>
  <c r="AA44" i="36" s="1"/>
  <c r="AF44" i="36" s="1"/>
  <c r="U135" i="36"/>
  <c r="R23" i="36"/>
  <c r="R143" i="36" s="1"/>
  <c r="M141" i="36"/>
  <c r="N143" i="36"/>
  <c r="R141" i="36"/>
  <c r="Q142" i="36"/>
  <c r="Q143" i="36"/>
  <c r="M23" i="36"/>
  <c r="M143" i="36" s="1"/>
  <c r="O143" i="36"/>
  <c r="X123" i="36"/>
  <c r="X7" i="36" s="1"/>
  <c r="X135" i="36" s="1"/>
  <c r="S101" i="36"/>
  <c r="S98" i="36"/>
  <c r="S94" i="36"/>
  <c r="E29" i="36"/>
  <c r="E34" i="36" s="1"/>
  <c r="V115" i="36"/>
  <c r="W115" i="36" s="1"/>
  <c r="V16" i="36"/>
  <c r="V9" i="39" s="1"/>
  <c r="E27" i="36"/>
  <c r="O27" i="36"/>
  <c r="M121" i="36"/>
  <c r="N27" i="36"/>
  <c r="U155" i="36"/>
  <c r="V153" i="36"/>
  <c r="P143" i="36"/>
  <c r="P25" i="36"/>
  <c r="Q27" i="36"/>
  <c r="P29" i="36"/>
  <c r="P142" i="36"/>
  <c r="F19" i="36"/>
  <c r="L29" i="36"/>
  <c r="L142" i="36"/>
  <c r="I142" i="36"/>
  <c r="I29" i="36"/>
  <c r="Q57" i="36"/>
  <c r="S41" i="36"/>
  <c r="L25" i="36"/>
  <c r="D173" i="36"/>
  <c r="D18" i="36"/>
  <c r="H121" i="36"/>
  <c r="K27" i="36"/>
  <c r="J25" i="36"/>
  <c r="J143" i="36"/>
  <c r="H25" i="36"/>
  <c r="H143" i="36"/>
  <c r="I25" i="36"/>
  <c r="I143" i="36"/>
  <c r="J29" i="36"/>
  <c r="J142" i="36"/>
  <c r="H72" i="36"/>
  <c r="Z26" i="36"/>
  <c r="D143" i="36"/>
  <c r="D25" i="36"/>
  <c r="G141" i="36"/>
  <c r="G19" i="36"/>
  <c r="G23" i="36"/>
  <c r="O142" i="36"/>
  <c r="O29" i="36"/>
  <c r="H106" i="36"/>
  <c r="Q34" i="36"/>
  <c r="K18" i="36"/>
  <c r="K173" i="36"/>
  <c r="R19" i="36"/>
  <c r="R65" i="38" s="1"/>
  <c r="R64" i="38" s="1"/>
  <c r="Y35" i="36"/>
  <c r="N142" i="36"/>
  <c r="N29" i="36"/>
  <c r="T133" i="36"/>
  <c r="S133" i="36"/>
  <c r="W42" i="36"/>
  <c r="W58" i="36" s="1"/>
  <c r="V58" i="36"/>
  <c r="S59" i="36"/>
  <c r="S134" i="36"/>
  <c r="U52" i="36"/>
  <c r="V50" i="36"/>
  <c r="V14" i="36"/>
  <c r="W129" i="36"/>
  <c r="S18" i="36"/>
  <c r="W126" i="36"/>
  <c r="W125" i="36"/>
  <c r="W124" i="36"/>
  <c r="Y123" i="36"/>
  <c r="V110" i="36"/>
  <c r="X115" i="36"/>
  <c r="AG109" i="36"/>
  <c r="AL108" i="36"/>
  <c r="V112" i="36"/>
  <c r="U136" i="36"/>
  <c r="AL55" i="36"/>
  <c r="AT111" i="36" l="1"/>
  <c r="AT185" i="36" s="1"/>
  <c r="AO185" i="36"/>
  <c r="AR96" i="36"/>
  <c r="AR181" i="36" s="1"/>
  <c r="AM181" i="36"/>
  <c r="AN185" i="36"/>
  <c r="AS111" i="36"/>
  <c r="AS185" i="36" s="1"/>
  <c r="AR69" i="36"/>
  <c r="AT96" i="36"/>
  <c r="AT181" i="36" s="1"/>
  <c r="AO181" i="36"/>
  <c r="AR111" i="36"/>
  <c r="AR185" i="36" s="1"/>
  <c r="AM185" i="36"/>
  <c r="X94" i="36"/>
  <c r="S180" i="36"/>
  <c r="AG117" i="36"/>
  <c r="AM187" i="36"/>
  <c r="AR116" i="36"/>
  <c r="AR187" i="36" s="1"/>
  <c r="AK116" i="36"/>
  <c r="AF187" i="36"/>
  <c r="AI117" i="36"/>
  <c r="AJ117" i="36" s="1"/>
  <c r="AK117" i="36" s="1"/>
  <c r="AM117" i="36" s="1"/>
  <c r="S183" i="36"/>
  <c r="X101" i="36"/>
  <c r="AT113" i="36"/>
  <c r="AT186" i="36" s="1"/>
  <c r="AO186" i="36"/>
  <c r="AK113" i="36"/>
  <c r="AF186" i="36"/>
  <c r="AS113" i="36"/>
  <c r="AS186" i="36" s="1"/>
  <c r="AN186" i="36"/>
  <c r="AA183" i="36"/>
  <c r="AF101" i="36"/>
  <c r="X98" i="36"/>
  <c r="S182" i="36"/>
  <c r="AK96" i="36"/>
  <c r="AF181" i="36"/>
  <c r="AF185" i="36"/>
  <c r="AK111" i="36"/>
  <c r="AK94" i="36"/>
  <c r="AF180" i="36"/>
  <c r="AT116" i="36"/>
  <c r="AT187" i="36" s="1"/>
  <c r="AO187" i="36"/>
  <c r="AN187" i="36"/>
  <c r="AS116" i="36"/>
  <c r="AS187" i="36" s="1"/>
  <c r="AR113" i="36"/>
  <c r="AR186" i="36" s="1"/>
  <c r="AM186" i="36"/>
  <c r="AA182" i="36"/>
  <c r="AF98" i="36"/>
  <c r="AN181" i="36"/>
  <c r="AS96" i="36"/>
  <c r="AS181" i="36" s="1"/>
  <c r="AN69" i="36"/>
  <c r="AO69" i="36" s="1"/>
  <c r="AP69" i="36" s="1"/>
  <c r="AS163" i="36"/>
  <c r="AT163" i="36" s="1"/>
  <c r="AU163" i="36" s="1"/>
  <c r="AR129" i="36"/>
  <c r="AR102" i="36"/>
  <c r="W57" i="36"/>
  <c r="AD77" i="36"/>
  <c r="AI77" i="36" s="1"/>
  <c r="AN77" i="36" s="1"/>
  <c r="AS77" i="36" s="1"/>
  <c r="V10" i="39"/>
  <c r="W10" i="39" s="1"/>
  <c r="W9" i="39"/>
  <c r="U151" i="36"/>
  <c r="U152" i="36"/>
  <c r="V85" i="36"/>
  <c r="V87" i="36" s="1"/>
  <c r="AN88" i="36"/>
  <c r="T90" i="36"/>
  <c r="U74" i="36"/>
  <c r="U76" i="36" s="1"/>
  <c r="R25" i="36"/>
  <c r="W7" i="36"/>
  <c r="F27" i="36"/>
  <c r="F32" i="36" s="1"/>
  <c r="S43" i="36"/>
  <c r="S44" i="36" s="1"/>
  <c r="X44" i="36" s="1"/>
  <c r="AC44" i="36" s="1"/>
  <c r="M25" i="36"/>
  <c r="V136" i="36"/>
  <c r="S61" i="36"/>
  <c r="S68" i="36"/>
  <c r="S65" i="36"/>
  <c r="AV55" i="36"/>
  <c r="AV108" i="36"/>
  <c r="W119" i="36"/>
  <c r="Z35" i="36"/>
  <c r="Q32" i="36"/>
  <c r="Q33" i="36"/>
  <c r="K33" i="36"/>
  <c r="K32" i="36"/>
  <c r="S57" i="36"/>
  <c r="T41" i="36"/>
  <c r="O33" i="36"/>
  <c r="O32" i="36"/>
  <c r="G25" i="36"/>
  <c r="G143" i="36"/>
  <c r="J34" i="36"/>
  <c r="I27" i="36"/>
  <c r="I34" i="36"/>
  <c r="N34" i="36"/>
  <c r="P27" i="36"/>
  <c r="O34" i="36"/>
  <c r="AA26" i="36"/>
  <c r="H18" i="36"/>
  <c r="D19" i="36"/>
  <c r="N32" i="36"/>
  <c r="N33" i="36"/>
  <c r="E32" i="36"/>
  <c r="E33" i="36"/>
  <c r="F142" i="36"/>
  <c r="F29" i="36"/>
  <c r="V155" i="36"/>
  <c r="H27" i="36"/>
  <c r="L34" i="36"/>
  <c r="G142" i="36"/>
  <c r="G29" i="36"/>
  <c r="AL88" i="36"/>
  <c r="T92" i="36"/>
  <c r="R29" i="36"/>
  <c r="R142" i="36"/>
  <c r="P34" i="36"/>
  <c r="K19" i="36"/>
  <c r="M18" i="36"/>
  <c r="D27" i="36"/>
  <c r="J27" i="36"/>
  <c r="L27" i="36"/>
  <c r="X83" i="36"/>
  <c r="AB84" i="36"/>
  <c r="X50" i="36"/>
  <c r="V52" i="36"/>
  <c r="W50" i="36"/>
  <c r="T134" i="36"/>
  <c r="T59" i="36"/>
  <c r="S8" i="36"/>
  <c r="S28" i="36"/>
  <c r="X14" i="36"/>
  <c r="W14" i="36"/>
  <c r="T168" i="36"/>
  <c r="Z123" i="36"/>
  <c r="Y7" i="36"/>
  <c r="W110" i="36"/>
  <c r="W111" i="36" s="1"/>
  <c r="X112" i="36"/>
  <c r="AQ108" i="36"/>
  <c r="AL109" i="36"/>
  <c r="W116" i="36"/>
  <c r="Y115" i="36"/>
  <c r="W112" i="36"/>
  <c r="X110" i="36"/>
  <c r="W16" i="36"/>
  <c r="AQ55" i="36"/>
  <c r="AC94" i="36" l="1"/>
  <c r="X180" i="36"/>
  <c r="AK98" i="36"/>
  <c r="AF182" i="36"/>
  <c r="AP113" i="36"/>
  <c r="AK186" i="36"/>
  <c r="AK101" i="36"/>
  <c r="AF183" i="36"/>
  <c r="AS69" i="36"/>
  <c r="AT69" i="36" s="1"/>
  <c r="AU69" i="36" s="1"/>
  <c r="X182" i="36"/>
  <c r="AC98" i="36"/>
  <c r="AS102" i="36"/>
  <c r="AT102" i="36" s="1"/>
  <c r="AU102" i="36" s="1"/>
  <c r="AK180" i="36"/>
  <c r="AP94" i="36"/>
  <c r="AC101" i="36"/>
  <c r="X183" i="36"/>
  <c r="AS129" i="36"/>
  <c r="AT129" i="36" s="1"/>
  <c r="AU129" i="36" s="1"/>
  <c r="AK185" i="36"/>
  <c r="AP111" i="36"/>
  <c r="AL117" i="36"/>
  <c r="AN117" i="36"/>
  <c r="AO117" i="36" s="1"/>
  <c r="AP117" i="36" s="1"/>
  <c r="AR117" i="36" s="1"/>
  <c r="AQ69" i="36"/>
  <c r="AK181" i="36"/>
  <c r="AP96" i="36"/>
  <c r="AP116" i="36"/>
  <c r="AK187" i="36"/>
  <c r="AL102" i="36"/>
  <c r="S53" i="39"/>
  <c r="S56" i="39"/>
  <c r="AS88" i="36"/>
  <c r="AV88" i="36" s="1"/>
  <c r="U90" i="36"/>
  <c r="V74" i="36"/>
  <c r="V90" i="36" s="1"/>
  <c r="R27" i="36"/>
  <c r="R31" i="36" s="1"/>
  <c r="X91" i="36"/>
  <c r="F33" i="36"/>
  <c r="K146" i="36" s="1"/>
  <c r="V76" i="36"/>
  <c r="V78" i="36" s="1"/>
  <c r="Z91" i="36"/>
  <c r="AA91" i="36"/>
  <c r="Y91" i="36"/>
  <c r="T43" i="36"/>
  <c r="T44" i="36" s="1"/>
  <c r="Y44" i="36" s="1"/>
  <c r="AD44" i="36" s="1"/>
  <c r="M27" i="36"/>
  <c r="M31" i="36" s="1"/>
  <c r="M48" i="39" s="1"/>
  <c r="T98" i="36"/>
  <c r="T94" i="36"/>
  <c r="T101" i="36"/>
  <c r="AV109" i="36"/>
  <c r="T61" i="36"/>
  <c r="T68" i="36"/>
  <c r="T65" i="36"/>
  <c r="U168" i="36"/>
  <c r="X16" i="36"/>
  <c r="X9" i="39" s="1"/>
  <c r="J33" i="36"/>
  <c r="J146" i="36" s="1"/>
  <c r="J32" i="36"/>
  <c r="F34" i="36"/>
  <c r="H19" i="36"/>
  <c r="P32" i="36"/>
  <c r="P33" i="36"/>
  <c r="P146" i="36" s="1"/>
  <c r="T57" i="36"/>
  <c r="U41" i="36"/>
  <c r="D29" i="36"/>
  <c r="D142" i="36"/>
  <c r="G34" i="36"/>
  <c r="L147" i="36" s="1"/>
  <c r="AC26" i="36"/>
  <c r="AB26" i="36"/>
  <c r="J147" i="36"/>
  <c r="D32" i="36"/>
  <c r="D33" i="36"/>
  <c r="O147" i="36"/>
  <c r="I33" i="36"/>
  <c r="I146" i="36" s="1"/>
  <c r="I32" i="36"/>
  <c r="AQ88" i="36"/>
  <c r="G27" i="36"/>
  <c r="H32" i="36"/>
  <c r="H33" i="36"/>
  <c r="M19" i="36"/>
  <c r="M65" i="38" s="1"/>
  <c r="M64" i="38" s="1"/>
  <c r="Q147" i="36"/>
  <c r="K29" i="36"/>
  <c r="K142" i="36"/>
  <c r="X155" i="36"/>
  <c r="L33" i="36"/>
  <c r="L32" i="36"/>
  <c r="W155" i="36"/>
  <c r="N147" i="36"/>
  <c r="AB51" i="36"/>
  <c r="W22" i="36"/>
  <c r="X85" i="36"/>
  <c r="Y83" i="36"/>
  <c r="S140" i="36"/>
  <c r="T8" i="36"/>
  <c r="Y50" i="36"/>
  <c r="X52" i="36"/>
  <c r="V54" i="36"/>
  <c r="T170" i="36"/>
  <c r="T173" i="36" s="1"/>
  <c r="Y14" i="36"/>
  <c r="AA123" i="36"/>
  <c r="AB123" i="36" s="1"/>
  <c r="Y135" i="36"/>
  <c r="Z7" i="36"/>
  <c r="Z135" i="36" s="1"/>
  <c r="Z115" i="36"/>
  <c r="Y112" i="36"/>
  <c r="Y110" i="36"/>
  <c r="W113" i="36"/>
  <c r="AQ109" i="36"/>
  <c r="Y16" i="36"/>
  <c r="Y9" i="39" s="1"/>
  <c r="Y10" i="39" s="1"/>
  <c r="AQ117" i="36" l="1"/>
  <c r="AV69" i="36"/>
  <c r="T183" i="36"/>
  <c r="Y101" i="36"/>
  <c r="AH98" i="36"/>
  <c r="AC182" i="36"/>
  <c r="Y94" i="36"/>
  <c r="T180" i="36"/>
  <c r="AP187" i="36"/>
  <c r="AU116" i="36"/>
  <c r="AU187" i="36" s="1"/>
  <c r="AK183" i="36"/>
  <c r="AP101" i="36"/>
  <c r="AS117" i="36"/>
  <c r="AT117" i="36" s="1"/>
  <c r="AU117" i="36" s="1"/>
  <c r="AP186" i="36"/>
  <c r="AU113" i="36"/>
  <c r="AU186" i="36" s="1"/>
  <c r="AH101" i="36"/>
  <c r="AC183" i="36"/>
  <c r="AU94" i="36"/>
  <c r="AU180" i="36" s="1"/>
  <c r="AP180" i="36"/>
  <c r="T182" i="36"/>
  <c r="Y98" i="36"/>
  <c r="AP185" i="36"/>
  <c r="AU111" i="36"/>
  <c r="AU185" i="36" s="1"/>
  <c r="AU96" i="36"/>
  <c r="AU181" i="36" s="1"/>
  <c r="AP181" i="36"/>
  <c r="AK182" i="36"/>
  <c r="AP98" i="36"/>
  <c r="AH94" i="36"/>
  <c r="AC180" i="36"/>
  <c r="X10" i="39"/>
  <c r="R33" i="36"/>
  <c r="R36" i="36" s="1"/>
  <c r="R48" i="39"/>
  <c r="T56" i="39"/>
  <c r="T53" i="39"/>
  <c r="O146" i="36"/>
  <c r="AC115" i="36"/>
  <c r="W74" i="36"/>
  <c r="Q146" i="36"/>
  <c r="R30" i="36"/>
  <c r="R32" i="36" s="1"/>
  <c r="N146" i="36"/>
  <c r="X74" i="36"/>
  <c r="X76" i="36" s="1"/>
  <c r="X78" i="36" s="1"/>
  <c r="V79" i="36"/>
  <c r="V95" i="36"/>
  <c r="V92" i="36"/>
  <c r="AB75" i="36"/>
  <c r="AB91" i="36" s="1"/>
  <c r="U43" i="36"/>
  <c r="M30" i="36"/>
  <c r="M32" i="36" s="1"/>
  <c r="X136" i="36"/>
  <c r="AB35" i="36"/>
  <c r="Y136" i="36"/>
  <c r="R34" i="36"/>
  <c r="V168" i="36"/>
  <c r="S71" i="36"/>
  <c r="V30" i="36"/>
  <c r="V33" i="39" s="1"/>
  <c r="K34" i="36"/>
  <c r="AD26" i="36"/>
  <c r="V31" i="36"/>
  <c r="S130" i="36"/>
  <c r="S118" i="36"/>
  <c r="Y155" i="36"/>
  <c r="S103" i="36"/>
  <c r="H36" i="36"/>
  <c r="AC35" i="36"/>
  <c r="M33" i="36"/>
  <c r="M146" i="36" s="1"/>
  <c r="D34" i="36"/>
  <c r="G33" i="36"/>
  <c r="L146" i="36" s="1"/>
  <c r="G32" i="36"/>
  <c r="M142" i="36"/>
  <c r="M29" i="36"/>
  <c r="V41" i="36"/>
  <c r="V43" i="36" s="1"/>
  <c r="V45" i="36" s="1"/>
  <c r="U57" i="36"/>
  <c r="H29" i="36"/>
  <c r="H142" i="36"/>
  <c r="Y85" i="36"/>
  <c r="Z83" i="36"/>
  <c r="X87" i="36"/>
  <c r="V6" i="36"/>
  <c r="W6" i="36" s="1"/>
  <c r="T140" i="36"/>
  <c r="X54" i="36"/>
  <c r="Z50" i="36"/>
  <c r="Y52" i="36"/>
  <c r="Z14" i="36"/>
  <c r="U170" i="36"/>
  <c r="T18" i="36"/>
  <c r="AB125" i="36"/>
  <c r="AB124" i="36"/>
  <c r="AC123" i="36"/>
  <c r="AA7" i="36"/>
  <c r="AA115" i="36"/>
  <c r="Z110" i="36"/>
  <c r="Z112" i="36"/>
  <c r="Z16" i="36"/>
  <c r="Z9" i="39" s="1"/>
  <c r="Z10" i="39" s="1"/>
  <c r="AB104" i="36"/>
  <c r="AM101" i="36" l="1"/>
  <c r="AH183" i="36"/>
  <c r="AP183" i="36"/>
  <c r="AU101" i="36"/>
  <c r="AU183" i="36" s="1"/>
  <c r="AV117" i="36"/>
  <c r="AU98" i="36"/>
  <c r="AU182" i="36" s="1"/>
  <c r="AP182" i="36"/>
  <c r="Y180" i="36"/>
  <c r="AD94" i="36"/>
  <c r="Y182" i="36"/>
  <c r="AD98" i="36"/>
  <c r="AH182" i="36"/>
  <c r="AM98" i="36"/>
  <c r="Y183" i="36"/>
  <c r="AD101" i="36"/>
  <c r="AM94" i="36"/>
  <c r="AH180" i="36"/>
  <c r="AQ102" i="36"/>
  <c r="AK44" i="36"/>
  <c r="AH44" i="36"/>
  <c r="V57" i="39"/>
  <c r="W33" i="39"/>
  <c r="W57" i="39" s="1"/>
  <c r="AB90" i="36"/>
  <c r="AC112" i="36"/>
  <c r="AC110" i="36"/>
  <c r="AD115" i="36"/>
  <c r="Y74" i="36"/>
  <c r="Z74" i="36" s="1"/>
  <c r="AA74" i="36" s="1"/>
  <c r="X95" i="36"/>
  <c r="R146" i="36"/>
  <c r="X79" i="36"/>
  <c r="X90" i="36"/>
  <c r="U8" i="36"/>
  <c r="AA58" i="36"/>
  <c r="Z136" i="36"/>
  <c r="S72" i="36"/>
  <c r="M36" i="36"/>
  <c r="X31" i="36"/>
  <c r="H34" i="36"/>
  <c r="W41" i="36"/>
  <c r="V57" i="36"/>
  <c r="S15" i="36"/>
  <c r="S120" i="36"/>
  <c r="S131" i="36"/>
  <c r="S105" i="36"/>
  <c r="Z155" i="36"/>
  <c r="M34" i="36"/>
  <c r="X30" i="36"/>
  <c r="AE26" i="36"/>
  <c r="AD35" i="36"/>
  <c r="K147" i="36"/>
  <c r="P147" i="36"/>
  <c r="I147" i="36"/>
  <c r="X92" i="36"/>
  <c r="AA83" i="36"/>
  <c r="AC83" i="36" s="1"/>
  <c r="Z85" i="36"/>
  <c r="Y87" i="36"/>
  <c r="AA50" i="36"/>
  <c r="AC50" i="36" s="1"/>
  <c r="Z52" i="36"/>
  <c r="V134" i="36"/>
  <c r="X6" i="36"/>
  <c r="X134" i="36" s="1"/>
  <c r="Y54" i="36"/>
  <c r="V170" i="36"/>
  <c r="U18" i="36"/>
  <c r="T28" i="36"/>
  <c r="AA14" i="36"/>
  <c r="AB129" i="36"/>
  <c r="AB128" i="36"/>
  <c r="AB126" i="36"/>
  <c r="AB7" i="36"/>
  <c r="AC7" i="36"/>
  <c r="AC135" i="36" s="1"/>
  <c r="AA135" i="36"/>
  <c r="AD123" i="36"/>
  <c r="AB119" i="36"/>
  <c r="AB115" i="36"/>
  <c r="AA112" i="36"/>
  <c r="AA110" i="36"/>
  <c r="AB110" i="36" s="1"/>
  <c r="AA16" i="36"/>
  <c r="AA9" i="39" s="1"/>
  <c r="AA10" i="39" s="1"/>
  <c r="AB10" i="39" s="1"/>
  <c r="AM180" i="36" l="1"/>
  <c r="AR94" i="36"/>
  <c r="AR180" i="36" s="1"/>
  <c r="AM182" i="36"/>
  <c r="AR98" i="36"/>
  <c r="AR182" i="36" s="1"/>
  <c r="AI101" i="36"/>
  <c r="AD183" i="36"/>
  <c r="AI94" i="36"/>
  <c r="AD180" i="36"/>
  <c r="AI98" i="36"/>
  <c r="AD182" i="36"/>
  <c r="AM183" i="36"/>
  <c r="AR101" i="36"/>
  <c r="AR183" i="36" s="1"/>
  <c r="AC118" i="36"/>
  <c r="AC120" i="36" s="1"/>
  <c r="AC121" i="36" s="1"/>
  <c r="AB9" i="39"/>
  <c r="Y76" i="36"/>
  <c r="Y78" i="36" s="1"/>
  <c r="Y95" i="36" s="1"/>
  <c r="AM44" i="36"/>
  <c r="AP44" i="36"/>
  <c r="AI44" i="36"/>
  <c r="AC33" i="39"/>
  <c r="X33" i="39"/>
  <c r="U53" i="39"/>
  <c r="V53" i="39" s="1"/>
  <c r="X53" i="39" s="1"/>
  <c r="Y53" i="39" s="1"/>
  <c r="Z53" i="39" s="1"/>
  <c r="AA53" i="39" s="1"/>
  <c r="AC53" i="39" s="1"/>
  <c r="AD53" i="39" s="1"/>
  <c r="AE53" i="39" s="1"/>
  <c r="AF53" i="39" s="1"/>
  <c r="AH53" i="39" s="1"/>
  <c r="AI53" i="39" s="1"/>
  <c r="AJ53" i="39" s="1"/>
  <c r="AK53" i="39" s="1"/>
  <c r="AM53" i="39" s="1"/>
  <c r="AN53" i="39" s="1"/>
  <c r="AO53" i="39" s="1"/>
  <c r="AP53" i="39" s="1"/>
  <c r="AR53" i="39" s="1"/>
  <c r="AS53" i="39" s="1"/>
  <c r="AT53" i="39" s="1"/>
  <c r="AU53" i="39" s="1"/>
  <c r="U56" i="39"/>
  <c r="Z76" i="36"/>
  <c r="Y90" i="36"/>
  <c r="Z90" i="36"/>
  <c r="AE115" i="36"/>
  <c r="AD110" i="36"/>
  <c r="AD112" i="36"/>
  <c r="AC85" i="36"/>
  <c r="AC87" i="36" s="1"/>
  <c r="AD83" i="36"/>
  <c r="AC74" i="36"/>
  <c r="AC76" i="36" s="1"/>
  <c r="AC78" i="36" s="1"/>
  <c r="AD50" i="36"/>
  <c r="AC52" i="36"/>
  <c r="AC54" i="36" s="1"/>
  <c r="AA76" i="36"/>
  <c r="AA78" i="36" s="1"/>
  <c r="U140" i="36"/>
  <c r="V46" i="36"/>
  <c r="V5" i="36"/>
  <c r="V133" i="36" s="1"/>
  <c r="V62" i="36"/>
  <c r="V59" i="36"/>
  <c r="AA136" i="36"/>
  <c r="AE35" i="36"/>
  <c r="M147" i="36"/>
  <c r="R147" i="36"/>
  <c r="S121" i="36"/>
  <c r="Y31" i="36"/>
  <c r="S17" i="36"/>
  <c r="S137" i="36" s="1"/>
  <c r="AF26" i="36"/>
  <c r="AG26" i="36" s="1"/>
  <c r="S106" i="36"/>
  <c r="Y58" i="36"/>
  <c r="X58" i="36"/>
  <c r="AB42" i="36"/>
  <c r="X41" i="36"/>
  <c r="AA155" i="36"/>
  <c r="Z58" i="36"/>
  <c r="Y30" i="36"/>
  <c r="AB74" i="36"/>
  <c r="AA90" i="36"/>
  <c r="AB83" i="36"/>
  <c r="AA85" i="36"/>
  <c r="Y6" i="36"/>
  <c r="Y134" i="36" s="1"/>
  <c r="AB50" i="36"/>
  <c r="AA52" i="36"/>
  <c r="AB14" i="36"/>
  <c r="AC14" i="36"/>
  <c r="X168" i="36"/>
  <c r="V18" i="36"/>
  <c r="AD7" i="36"/>
  <c r="AE123" i="36"/>
  <c r="AB111" i="36"/>
  <c r="AB112" i="36"/>
  <c r="AB116" i="36"/>
  <c r="AC16" i="36"/>
  <c r="AC9" i="39" s="1"/>
  <c r="AB16" i="36"/>
  <c r="AI182" i="36" l="1"/>
  <c r="AN98" i="36"/>
  <c r="AN101" i="36"/>
  <c r="AI183" i="36"/>
  <c r="AN94" i="36"/>
  <c r="AI180" i="36"/>
  <c r="Y79" i="36"/>
  <c r="AV102" i="36"/>
  <c r="Y92" i="36"/>
  <c r="AC10" i="39"/>
  <c r="AN44" i="36"/>
  <c r="AU44" i="36"/>
  <c r="AR44" i="36"/>
  <c r="AD33" i="39"/>
  <c r="AD57" i="39" s="1"/>
  <c r="Y33" i="39"/>
  <c r="Y57" i="39" s="1"/>
  <c r="X57" i="39"/>
  <c r="X58" i="39" s="1"/>
  <c r="AC57" i="39"/>
  <c r="AE110" i="36"/>
  <c r="AF115" i="36"/>
  <c r="AE112" i="36"/>
  <c r="AD118" i="36"/>
  <c r="AD120" i="36" s="1"/>
  <c r="AD121" i="36" s="1"/>
  <c r="AD85" i="36"/>
  <c r="AD87" i="36" s="1"/>
  <c r="AE83" i="36"/>
  <c r="AD74" i="36"/>
  <c r="AC90" i="36"/>
  <c r="AC95" i="36"/>
  <c r="AC92" i="36"/>
  <c r="AC79" i="36"/>
  <c r="AD52" i="36"/>
  <c r="AD54" i="36" s="1"/>
  <c r="AE50" i="36"/>
  <c r="AA79" i="36"/>
  <c r="AA95" i="36"/>
  <c r="X43" i="36"/>
  <c r="X45" i="36" s="1"/>
  <c r="V67" i="36"/>
  <c r="V60" i="36"/>
  <c r="V10" i="36"/>
  <c r="W10" i="36" s="1"/>
  <c r="W5" i="36"/>
  <c r="W8" i="36" s="1"/>
  <c r="V8" i="36"/>
  <c r="Z31" i="36"/>
  <c r="S141" i="36"/>
  <c r="S19" i="36"/>
  <c r="AB155" i="36"/>
  <c r="AH26" i="36"/>
  <c r="Z30" i="36"/>
  <c r="X57" i="36"/>
  <c r="Y41" i="36"/>
  <c r="AB58" i="36"/>
  <c r="AB139" i="36" s="1"/>
  <c r="W18" i="36"/>
  <c r="AG51" i="36"/>
  <c r="AB22" i="36"/>
  <c r="AG75" i="36"/>
  <c r="AA87" i="36"/>
  <c r="AG84" i="36"/>
  <c r="AA54" i="36"/>
  <c r="T130" i="36"/>
  <c r="T70" i="36"/>
  <c r="T103" i="36"/>
  <c r="T118" i="36"/>
  <c r="X170" i="36"/>
  <c r="AD14" i="36"/>
  <c r="AD135" i="36"/>
  <c r="AE7" i="36"/>
  <c r="AE135" i="36" s="1"/>
  <c r="AF123" i="36"/>
  <c r="AG123" i="36" s="1"/>
  <c r="AB113" i="36"/>
  <c r="AC136" i="36"/>
  <c r="AD16" i="36"/>
  <c r="AD9" i="39" s="1"/>
  <c r="AD10" i="39" s="1"/>
  <c r="AN180" i="36" l="1"/>
  <c r="AS94" i="36"/>
  <c r="AS180" i="36" s="1"/>
  <c r="AN183" i="36"/>
  <c r="AS101" i="36"/>
  <c r="AS183" i="36" s="1"/>
  <c r="AN182" i="36"/>
  <c r="AS98" i="36"/>
  <c r="AS182" i="36" s="1"/>
  <c r="V70" i="36"/>
  <c r="V71" i="36" s="1"/>
  <c r="W140" i="36"/>
  <c r="Y58" i="39"/>
  <c r="AS44" i="36"/>
  <c r="AE33" i="39"/>
  <c r="Z33" i="39"/>
  <c r="X46" i="36"/>
  <c r="V25" i="39"/>
  <c r="V8" i="38"/>
  <c r="V12" i="39"/>
  <c r="AH115" i="36"/>
  <c r="AE118" i="36"/>
  <c r="AE120" i="36" s="1"/>
  <c r="AE121" i="36" s="1"/>
  <c r="AF112" i="36"/>
  <c r="AF110" i="36"/>
  <c r="AF83" i="36"/>
  <c r="AE85" i="36"/>
  <c r="AC93" i="36"/>
  <c r="AC97" i="36"/>
  <c r="AC100" i="36"/>
  <c r="AE74" i="36"/>
  <c r="AE76" i="36" s="1"/>
  <c r="AD90" i="36"/>
  <c r="AD76" i="36"/>
  <c r="AD78" i="36" s="1"/>
  <c r="AE52" i="36"/>
  <c r="AF50" i="36"/>
  <c r="AB57" i="36"/>
  <c r="Y43" i="36"/>
  <c r="Y45" i="36" s="1"/>
  <c r="V140" i="36"/>
  <c r="U118" i="36"/>
  <c r="Y57" i="36"/>
  <c r="Z41" i="36"/>
  <c r="S142" i="36"/>
  <c r="AA31" i="36"/>
  <c r="AI26" i="36"/>
  <c r="AH35" i="36"/>
  <c r="AG35" i="36"/>
  <c r="AC153" i="36" s="1"/>
  <c r="AA30" i="36"/>
  <c r="AG91" i="36"/>
  <c r="AA92" i="36"/>
  <c r="U130" i="36"/>
  <c r="T71" i="36"/>
  <c r="T15" i="36"/>
  <c r="T105" i="36"/>
  <c r="AA6" i="36"/>
  <c r="AL51" i="36"/>
  <c r="T120" i="36"/>
  <c r="T131" i="36"/>
  <c r="AG129" i="36"/>
  <c r="AE14" i="36"/>
  <c r="Y168" i="36"/>
  <c r="X18" i="36"/>
  <c r="AG128" i="36"/>
  <c r="AG126" i="36"/>
  <c r="AG124" i="36"/>
  <c r="AF7" i="36"/>
  <c r="AH123" i="36"/>
  <c r="AG119" i="36"/>
  <c r="AG104" i="36"/>
  <c r="AE16" i="36"/>
  <c r="AE9" i="39" s="1"/>
  <c r="AE10" i="39" s="1"/>
  <c r="AD136" i="36"/>
  <c r="AD153" i="36" l="1"/>
  <c r="AC155" i="36"/>
  <c r="AC30" i="36" s="1"/>
  <c r="AH33" i="39" s="1"/>
  <c r="AH57" i="39" s="1"/>
  <c r="AF118" i="36"/>
  <c r="AF120" i="36" s="1"/>
  <c r="AF121" i="36" s="1"/>
  <c r="Z57" i="39"/>
  <c r="Z58" i="39" s="1"/>
  <c r="AF33" i="39"/>
  <c r="AF57" i="39" s="1"/>
  <c r="AA33" i="39"/>
  <c r="AA57" i="39" s="1"/>
  <c r="AE57" i="39"/>
  <c r="AG33" i="39"/>
  <c r="AG57" i="39" s="1"/>
  <c r="Y46" i="36"/>
  <c r="V35" i="39"/>
  <c r="V37" i="38" s="1"/>
  <c r="W12" i="39"/>
  <c r="W8" i="38"/>
  <c r="V15" i="39"/>
  <c r="W15" i="39" s="1"/>
  <c r="W25" i="39"/>
  <c r="W56" i="39" s="1"/>
  <c r="V14" i="38"/>
  <c r="AG90" i="36"/>
  <c r="AH110" i="36"/>
  <c r="AH112" i="36"/>
  <c r="AI115" i="36"/>
  <c r="AH83" i="36"/>
  <c r="AF85" i="36"/>
  <c r="AF87" i="36" s="1"/>
  <c r="AF74" i="36"/>
  <c r="AE90" i="36"/>
  <c r="AD95" i="36"/>
  <c r="AD92" i="36"/>
  <c r="AD79" i="36"/>
  <c r="AH50" i="36"/>
  <c r="AF52" i="36"/>
  <c r="AF54" i="36" s="1"/>
  <c r="Z43" i="36"/>
  <c r="AI35" i="36"/>
  <c r="X59" i="36"/>
  <c r="X62" i="36"/>
  <c r="X5" i="36"/>
  <c r="AJ26" i="36"/>
  <c r="Z57" i="36"/>
  <c r="AA41" i="36"/>
  <c r="AC41" i="36" s="1"/>
  <c r="AA134" i="36"/>
  <c r="U131" i="36"/>
  <c r="AC6" i="36"/>
  <c r="T106" i="36"/>
  <c r="U120" i="36"/>
  <c r="T121" i="36"/>
  <c r="T17" i="36"/>
  <c r="T72" i="36"/>
  <c r="Y170" i="36"/>
  <c r="AF14" i="36"/>
  <c r="AG125" i="36"/>
  <c r="AI123" i="36"/>
  <c r="AF135" i="36"/>
  <c r="AG7" i="36"/>
  <c r="AH7" i="36"/>
  <c r="AH135" i="36" s="1"/>
  <c r="AG115" i="36"/>
  <c r="AE136" i="36"/>
  <c r="AF16" i="36"/>
  <c r="AF9" i="39" s="1"/>
  <c r="AF10" i="39" s="1"/>
  <c r="AG10" i="39" s="1"/>
  <c r="AC31" i="36" l="1"/>
  <c r="AE153" i="36"/>
  <c r="AD155" i="36"/>
  <c r="AG9" i="39"/>
  <c r="AH118" i="36"/>
  <c r="AH120" i="36" s="1"/>
  <c r="AH121" i="36" s="1"/>
  <c r="AB33" i="39"/>
  <c r="AB57" i="39" s="1"/>
  <c r="AA58" i="39"/>
  <c r="AC58" i="39" s="1"/>
  <c r="W14" i="38"/>
  <c r="X7" i="39" s="1"/>
  <c r="W37" i="38"/>
  <c r="W35" i="39"/>
  <c r="W37" i="39" s="1"/>
  <c r="V37" i="39"/>
  <c r="AJ115" i="36"/>
  <c r="AI112" i="36"/>
  <c r="AI110" i="36"/>
  <c r="AH85" i="36"/>
  <c r="AH87" i="36" s="1"/>
  <c r="AI83" i="36"/>
  <c r="AD100" i="36"/>
  <c r="AD93" i="36"/>
  <c r="AD97" i="36"/>
  <c r="AH74" i="36"/>
  <c r="AF90" i="36"/>
  <c r="AF76" i="36"/>
  <c r="AF78" i="36" s="1"/>
  <c r="AH52" i="36"/>
  <c r="AH54" i="36" s="1"/>
  <c r="AI50" i="36"/>
  <c r="AC43" i="36"/>
  <c r="AC45" i="36" s="1"/>
  <c r="AC57" i="36"/>
  <c r="AD41" i="36"/>
  <c r="AD43" i="36" s="1"/>
  <c r="AD45" i="36" s="1"/>
  <c r="AA43" i="36"/>
  <c r="AA45" i="36" s="1"/>
  <c r="AF136" i="36"/>
  <c r="V12" i="36"/>
  <c r="Y59" i="36"/>
  <c r="Y5" i="36"/>
  <c r="Y133" i="36" s="1"/>
  <c r="Y62" i="36"/>
  <c r="AJ35" i="36"/>
  <c r="AK35" i="36" s="1"/>
  <c r="X133" i="36"/>
  <c r="X8" i="36"/>
  <c r="X10" i="36"/>
  <c r="X60" i="36"/>
  <c r="AD30" i="36"/>
  <c r="AI33" i="39" s="1"/>
  <c r="AI57" i="39" s="1"/>
  <c r="AA57" i="36"/>
  <c r="AB41" i="36"/>
  <c r="AK26" i="36"/>
  <c r="AL26" i="36" s="1"/>
  <c r="AG16" i="36"/>
  <c r="U15" i="36"/>
  <c r="AG74" i="36"/>
  <c r="AL75" i="36"/>
  <c r="AG83" i="36"/>
  <c r="AL84" i="36"/>
  <c r="T137" i="36"/>
  <c r="T19" i="36"/>
  <c r="T141" i="36"/>
  <c r="AG50" i="36"/>
  <c r="U121" i="36"/>
  <c r="AD6" i="36"/>
  <c r="AC134" i="36"/>
  <c r="W99" i="36"/>
  <c r="V118" i="36"/>
  <c r="W114" i="36"/>
  <c r="V130" i="36"/>
  <c r="W127" i="36"/>
  <c r="Z168" i="36"/>
  <c r="AH14" i="36"/>
  <c r="Y18" i="36"/>
  <c r="AG14" i="36"/>
  <c r="AI7" i="36"/>
  <c r="AI135" i="36" s="1"/>
  <c r="AJ123" i="36"/>
  <c r="AG116" i="36"/>
  <c r="AG112" i="36"/>
  <c r="AG110" i="36"/>
  <c r="AH16" i="36"/>
  <c r="AH9" i="39" s="1"/>
  <c r="AD31" i="36" l="1"/>
  <c r="AF153" i="36"/>
  <c r="AF155" i="36" s="1"/>
  <c r="AE155" i="36"/>
  <c r="AE30" i="36" s="1"/>
  <c r="AJ33" i="39" s="1"/>
  <c r="AJ57" i="39" s="1"/>
  <c r="X127" i="36"/>
  <c r="X99" i="36"/>
  <c r="X66" i="36"/>
  <c r="AH10" i="39"/>
  <c r="AI118" i="36"/>
  <c r="AI120" i="36" s="1"/>
  <c r="AI121" i="36" s="1"/>
  <c r="AD58" i="39"/>
  <c r="AE58" i="39" s="1"/>
  <c r="AF58" i="39" s="1"/>
  <c r="AG58" i="39" s="1"/>
  <c r="AB58" i="39"/>
  <c r="AA46" i="36"/>
  <c r="X8" i="38"/>
  <c r="X25" i="39"/>
  <c r="X12" i="39"/>
  <c r="AJ112" i="36"/>
  <c r="AJ110" i="36"/>
  <c r="AK115" i="36"/>
  <c r="AJ83" i="36"/>
  <c r="AI85" i="36"/>
  <c r="AI87" i="36" s="1"/>
  <c r="AI74" i="36"/>
  <c r="AH90" i="36"/>
  <c r="AF95" i="36"/>
  <c r="AF92" i="36"/>
  <c r="AF79" i="36"/>
  <c r="AH76" i="36"/>
  <c r="AH78" i="36" s="1"/>
  <c r="AI52" i="36"/>
  <c r="AI54" i="36" s="1"/>
  <c r="AJ50" i="36"/>
  <c r="AE41" i="36"/>
  <c r="AD57" i="36"/>
  <c r="AD59" i="36"/>
  <c r="AD46" i="36"/>
  <c r="AD62" i="36"/>
  <c r="AC46" i="36"/>
  <c r="AC62" i="36"/>
  <c r="AC59" i="36"/>
  <c r="AH136" i="36"/>
  <c r="W66" i="36"/>
  <c r="AM26" i="36"/>
  <c r="X140" i="36"/>
  <c r="Y10" i="36"/>
  <c r="Y8" i="36"/>
  <c r="Y60" i="36"/>
  <c r="AE31" i="36"/>
  <c r="AG42" i="36"/>
  <c r="U17" i="36"/>
  <c r="U141" i="36" s="1"/>
  <c r="AL91" i="36"/>
  <c r="V131" i="36"/>
  <c r="W118" i="36"/>
  <c r="V120" i="36"/>
  <c r="AD134" i="36"/>
  <c r="W12" i="36"/>
  <c r="T142" i="36"/>
  <c r="W130" i="36"/>
  <c r="AI14" i="36"/>
  <c r="Z170" i="36"/>
  <c r="AJ7" i="36"/>
  <c r="AJ135" i="36" s="1"/>
  <c r="AK123" i="36"/>
  <c r="AG113" i="36"/>
  <c r="AG111" i="36"/>
  <c r="AI16" i="36"/>
  <c r="AI9" i="39" s="1"/>
  <c r="AI10" i="39" s="1"/>
  <c r="AG155" i="36" l="1"/>
  <c r="AJ118" i="36"/>
  <c r="AJ120" i="36" s="1"/>
  <c r="AJ121" i="36" s="1"/>
  <c r="AH58" i="39"/>
  <c r="AI58" i="39" s="1"/>
  <c r="Y8" i="38"/>
  <c r="Y15" i="39" s="1"/>
  <c r="Y25" i="39"/>
  <c r="Y12" i="39"/>
  <c r="X35" i="39"/>
  <c r="X14" i="38"/>
  <c r="X15" i="39"/>
  <c r="AL90" i="36"/>
  <c r="AK112" i="36"/>
  <c r="AM115" i="36"/>
  <c r="AK110" i="36"/>
  <c r="AJ85" i="36"/>
  <c r="AK83" i="36"/>
  <c r="AH95" i="36"/>
  <c r="AH92" i="36"/>
  <c r="AH79" i="36"/>
  <c r="AF93" i="36"/>
  <c r="AF97" i="36"/>
  <c r="AF100" i="36"/>
  <c r="AJ74" i="36"/>
  <c r="AJ76" i="36" s="1"/>
  <c r="AI90" i="36"/>
  <c r="AI76" i="36"/>
  <c r="AI78" i="36" s="1"/>
  <c r="AJ52" i="36"/>
  <c r="AK50" i="36"/>
  <c r="AE57" i="36"/>
  <c r="AF41" i="36"/>
  <c r="AC60" i="36"/>
  <c r="AC64" i="36"/>
  <c r="AC67" i="36"/>
  <c r="AD67" i="36"/>
  <c r="AD60" i="36"/>
  <c r="AD64" i="36"/>
  <c r="AE43" i="36"/>
  <c r="AI136" i="36"/>
  <c r="AM35" i="36"/>
  <c r="AL35" i="36"/>
  <c r="AH153" i="36" s="1"/>
  <c r="Y140" i="36"/>
  <c r="AF31" i="36"/>
  <c r="AG58" i="36"/>
  <c r="AF30" i="36"/>
  <c r="AK33" i="39" s="1"/>
  <c r="AK57" i="39" s="1"/>
  <c r="AN26" i="36"/>
  <c r="AA62" i="36"/>
  <c r="AA59" i="36"/>
  <c r="AA5" i="36"/>
  <c r="U19" i="36"/>
  <c r="U142" i="36" s="1"/>
  <c r="AQ75" i="36"/>
  <c r="AF6" i="36"/>
  <c r="W120" i="36"/>
  <c r="AQ51" i="36"/>
  <c r="W131" i="36"/>
  <c r="V121" i="36"/>
  <c r="Z18" i="36"/>
  <c r="AL129" i="36"/>
  <c r="AJ14" i="36"/>
  <c r="AA168" i="36"/>
  <c r="AL126" i="36"/>
  <c r="AL125" i="36"/>
  <c r="AM123" i="36"/>
  <c r="AK7" i="36"/>
  <c r="AL7" i="36" s="1"/>
  <c r="AL123" i="36"/>
  <c r="AL119" i="36"/>
  <c r="AL104" i="36"/>
  <c r="AJ16" i="36"/>
  <c r="AJ9" i="39" s="1"/>
  <c r="AJ10" i="39" s="1"/>
  <c r="AI153" i="36" l="1"/>
  <c r="AH155" i="36"/>
  <c r="AH30" i="36" s="1"/>
  <c r="AM33" i="39" s="1"/>
  <c r="AK118" i="36"/>
  <c r="AK120" i="36" s="1"/>
  <c r="AK121" i="36" s="1"/>
  <c r="AJ58" i="39"/>
  <c r="Y35" i="39"/>
  <c r="X37" i="39"/>
  <c r="X37" i="38"/>
  <c r="Y7" i="39"/>
  <c r="AL33" i="39"/>
  <c r="AG57" i="36"/>
  <c r="AG139" i="36"/>
  <c r="AM110" i="36"/>
  <c r="AM112" i="36"/>
  <c r="AN115" i="36"/>
  <c r="AM83" i="36"/>
  <c r="AK85" i="36"/>
  <c r="AK87" i="36" s="1"/>
  <c r="AI95" i="36"/>
  <c r="AI79" i="36"/>
  <c r="AI92" i="36"/>
  <c r="AK74" i="36"/>
  <c r="AK76" i="36" s="1"/>
  <c r="AK78" i="36" s="1"/>
  <c r="AJ90" i="36"/>
  <c r="AH93" i="36"/>
  <c r="AH97" i="36"/>
  <c r="AH100" i="36"/>
  <c r="AM50" i="36"/>
  <c r="AK52" i="36"/>
  <c r="AK54" i="36" s="1"/>
  <c r="AF43" i="36"/>
  <c r="AF45" i="36" s="1"/>
  <c r="AH41" i="36"/>
  <c r="AH43" i="36" s="1"/>
  <c r="AH45" i="36" s="1"/>
  <c r="AF57" i="36"/>
  <c r="AV51" i="36"/>
  <c r="AA133" i="36"/>
  <c r="AO26" i="36"/>
  <c r="AN35" i="36"/>
  <c r="AA10" i="36"/>
  <c r="AA8" i="36"/>
  <c r="AA60" i="36"/>
  <c r="AC5" i="36"/>
  <c r="AQ84" i="36"/>
  <c r="AH6" i="36"/>
  <c r="AH134" i="36" s="1"/>
  <c r="W121" i="36"/>
  <c r="X118" i="36"/>
  <c r="X130" i="36"/>
  <c r="X12" i="36"/>
  <c r="AF134" i="36"/>
  <c r="AA170" i="36"/>
  <c r="AK14" i="36"/>
  <c r="AL14" i="36" s="1"/>
  <c r="AL128" i="36"/>
  <c r="AM7" i="36"/>
  <c r="AL124" i="36"/>
  <c r="AN123" i="36"/>
  <c r="AK135" i="36"/>
  <c r="AL115" i="36"/>
  <c r="AL116" i="36" s="1"/>
  <c r="AK16" i="36"/>
  <c r="AK9" i="39" s="1"/>
  <c r="AK10" i="39" s="1"/>
  <c r="AL10" i="39" s="1"/>
  <c r="AJ136" i="36"/>
  <c r="AH31" i="36" l="1"/>
  <c r="AJ153" i="36"/>
  <c r="AI155" i="36"/>
  <c r="AI30" i="36" s="1"/>
  <c r="AN33" i="39" s="1"/>
  <c r="Y14" i="38"/>
  <c r="Y99" i="36"/>
  <c r="Y127" i="36"/>
  <c r="Y66" i="36"/>
  <c r="AL9" i="39"/>
  <c r="AK58" i="39"/>
  <c r="AL58" i="39" s="1"/>
  <c r="Y37" i="38"/>
  <c r="AA8" i="38"/>
  <c r="AA25" i="39"/>
  <c r="AA12" i="39"/>
  <c r="Z7" i="39"/>
  <c r="Z99" i="36" s="1"/>
  <c r="Y37" i="39"/>
  <c r="AM57" i="39"/>
  <c r="AL57" i="39"/>
  <c r="AN112" i="36"/>
  <c r="AO115" i="36"/>
  <c r="AM118" i="36"/>
  <c r="AM120" i="36" s="1"/>
  <c r="AM121" i="36" s="1"/>
  <c r="AN110" i="36"/>
  <c r="AN83" i="36"/>
  <c r="AM85" i="36"/>
  <c r="AM87" i="36" s="1"/>
  <c r="AI93" i="36"/>
  <c r="AI97" i="36"/>
  <c r="AI100" i="36"/>
  <c r="AK79" i="36"/>
  <c r="AK95" i="36"/>
  <c r="AK92" i="36"/>
  <c r="AM74" i="36"/>
  <c r="AK90" i="36"/>
  <c r="AL64" i="39" s="1"/>
  <c r="AM52" i="36"/>
  <c r="AM54" i="36" s="1"/>
  <c r="AN50" i="36"/>
  <c r="AH57" i="36"/>
  <c r="AI41" i="36"/>
  <c r="AI43" i="36" s="1"/>
  <c r="AI45" i="36" s="1"/>
  <c r="AH59" i="36"/>
  <c r="AH46" i="36"/>
  <c r="AH62" i="36"/>
  <c r="AF46" i="36"/>
  <c r="AF62" i="36"/>
  <c r="AF59" i="36"/>
  <c r="AK136" i="36"/>
  <c r="AV75" i="36"/>
  <c r="AP26" i="36"/>
  <c r="AR26" i="36" s="1"/>
  <c r="AC133" i="36"/>
  <c r="AC8" i="36"/>
  <c r="AG41" i="36"/>
  <c r="AA140" i="36"/>
  <c r="AL42" i="36"/>
  <c r="AC10" i="36"/>
  <c r="AO35" i="36"/>
  <c r="AP35" i="36" s="1"/>
  <c r="AD5" i="36"/>
  <c r="AL16" i="36"/>
  <c r="AL74" i="36"/>
  <c r="AL83" i="36"/>
  <c r="AQ91" i="36"/>
  <c r="Y118" i="36"/>
  <c r="AL50" i="36"/>
  <c r="X120" i="36"/>
  <c r="X131" i="36"/>
  <c r="AI6" i="36"/>
  <c r="AI134" i="36" s="1"/>
  <c r="AM14" i="36"/>
  <c r="AC168" i="36"/>
  <c r="AA18" i="36"/>
  <c r="AM135" i="36"/>
  <c r="AN7" i="36"/>
  <c r="AO123" i="36"/>
  <c r="AL112" i="36"/>
  <c r="AL110" i="36"/>
  <c r="AM16" i="36"/>
  <c r="AM9" i="39" s="1"/>
  <c r="AI31" i="36" l="1"/>
  <c r="AK153" i="36"/>
  <c r="AK155" i="36" s="1"/>
  <c r="AJ155" i="36"/>
  <c r="Z127" i="36"/>
  <c r="Z66" i="36"/>
  <c r="AM10" i="39"/>
  <c r="AN118" i="36"/>
  <c r="AN120" i="36" s="1"/>
  <c r="AN121" i="36" s="1"/>
  <c r="AC25" i="39"/>
  <c r="AC8" i="38"/>
  <c r="AC15" i="39" s="1"/>
  <c r="AC12" i="39"/>
  <c r="AB8" i="38"/>
  <c r="AN57" i="39"/>
  <c r="AQ90" i="36"/>
  <c r="AP115" i="36"/>
  <c r="AO110" i="36"/>
  <c r="AO112" i="36"/>
  <c r="AO83" i="36"/>
  <c r="AN85" i="36"/>
  <c r="AN87" i="36" s="1"/>
  <c r="AN74" i="36"/>
  <c r="AN76" i="36" s="1"/>
  <c r="AN78" i="36" s="1"/>
  <c r="AM90" i="36"/>
  <c r="AK100" i="36"/>
  <c r="AK93" i="36"/>
  <c r="AK97" i="36"/>
  <c r="AM76" i="36"/>
  <c r="AM78" i="36" s="1"/>
  <c r="AN52" i="36"/>
  <c r="AN54" i="36" s="1"/>
  <c r="AO50" i="36"/>
  <c r="AF67" i="36"/>
  <c r="AF60" i="36"/>
  <c r="AF64" i="36"/>
  <c r="AI62" i="36"/>
  <c r="AI46" i="36"/>
  <c r="AI59" i="36"/>
  <c r="AH64" i="36"/>
  <c r="AH60" i="36"/>
  <c r="AH67" i="36"/>
  <c r="AJ41" i="36"/>
  <c r="AI57" i="36"/>
  <c r="AJ43" i="36"/>
  <c r="AV84" i="36"/>
  <c r="AV91" i="36" s="1"/>
  <c r="AS26" i="36"/>
  <c r="AT26" i="36" s="1"/>
  <c r="AU26" i="36" s="1"/>
  <c r="AV26" i="36" s="1"/>
  <c r="AR123" i="36"/>
  <c r="AD10" i="36"/>
  <c r="AQ26" i="36"/>
  <c r="AL58" i="36"/>
  <c r="AJ30" i="36"/>
  <c r="AO33" i="39" s="1"/>
  <c r="AD8" i="36"/>
  <c r="AC140" i="36"/>
  <c r="AD133" i="36"/>
  <c r="Y12" i="36"/>
  <c r="Y120" i="36"/>
  <c r="Y130" i="36"/>
  <c r="X121" i="36"/>
  <c r="AN14" i="36"/>
  <c r="AC170" i="36"/>
  <c r="AB18" i="36"/>
  <c r="AN135" i="36"/>
  <c r="AP123" i="36"/>
  <c r="AQ123" i="36" s="1"/>
  <c r="AO7" i="36"/>
  <c r="AO135" i="36" s="1"/>
  <c r="AL111" i="36"/>
  <c r="AL113" i="36"/>
  <c r="AN16" i="36"/>
  <c r="AN9" i="39" s="1"/>
  <c r="AN10" i="39" s="1"/>
  <c r="AM136" i="36"/>
  <c r="AJ31" i="36" l="1"/>
  <c r="AK31" i="36" s="1"/>
  <c r="AL155" i="36"/>
  <c r="AD25" i="39"/>
  <c r="AD8" i="38"/>
  <c r="AD15" i="39" s="1"/>
  <c r="AD12" i="39"/>
  <c r="AO57" i="39"/>
  <c r="AL57" i="36"/>
  <c r="AL139" i="36"/>
  <c r="AO118" i="36"/>
  <c r="AO120" i="36" s="1"/>
  <c r="AO121" i="36" s="1"/>
  <c r="AP112" i="36"/>
  <c r="AP110" i="36"/>
  <c r="AR115" i="36"/>
  <c r="AO85" i="36"/>
  <c r="AP83" i="36"/>
  <c r="AM79" i="36"/>
  <c r="AM95" i="36"/>
  <c r="AM92" i="36"/>
  <c r="AN95" i="36"/>
  <c r="AN79" i="36"/>
  <c r="AN92" i="36"/>
  <c r="AO74" i="36"/>
  <c r="AO76" i="36" s="1"/>
  <c r="AN90" i="36"/>
  <c r="AO52" i="36"/>
  <c r="AP50" i="36"/>
  <c r="AJ57" i="36"/>
  <c r="AK41" i="36"/>
  <c r="AI60" i="36"/>
  <c r="AI67" i="36"/>
  <c r="AI64" i="36"/>
  <c r="AN136" i="36"/>
  <c r="AQ35" i="36"/>
  <c r="AM153" i="36" s="1"/>
  <c r="AR35" i="36"/>
  <c r="AS123" i="36"/>
  <c r="AR7" i="36"/>
  <c r="AK30" i="36"/>
  <c r="AP33" i="39" s="1"/>
  <c r="AD140" i="36"/>
  <c r="AF5" i="36"/>
  <c r="AF133" i="36" s="1"/>
  <c r="Z118" i="36"/>
  <c r="Z120" i="36" s="1"/>
  <c r="AK6" i="36"/>
  <c r="AK134" i="36" s="1"/>
  <c r="Y121" i="36"/>
  <c r="Z12" i="36"/>
  <c r="Y131" i="36"/>
  <c r="Z130" i="36"/>
  <c r="AC18" i="36"/>
  <c r="AO14" i="36"/>
  <c r="AD168" i="36"/>
  <c r="AP7" i="36"/>
  <c r="AP135" i="36" s="1"/>
  <c r="AQ124" i="36"/>
  <c r="AO16" i="36"/>
  <c r="AO9" i="39" s="1"/>
  <c r="AO10" i="39" s="1"/>
  <c r="AN153" i="36" l="1"/>
  <c r="AM155" i="36"/>
  <c r="AP118" i="36"/>
  <c r="AP120" i="36" s="1"/>
  <c r="AP121" i="36" s="1"/>
  <c r="AP57" i="39"/>
  <c r="AQ33" i="39"/>
  <c r="AS115" i="36"/>
  <c r="AR112" i="36"/>
  <c r="AR110" i="36"/>
  <c r="AR83" i="36"/>
  <c r="AP85" i="36"/>
  <c r="AP87" i="36" s="1"/>
  <c r="AO90" i="36"/>
  <c r="AP74" i="36"/>
  <c r="AM100" i="36"/>
  <c r="AM97" i="36"/>
  <c r="AM93" i="36"/>
  <c r="AN97" i="36"/>
  <c r="AN100" i="36"/>
  <c r="AN93" i="36"/>
  <c r="AR50" i="36"/>
  <c r="AP52" i="36"/>
  <c r="AP54" i="36" s="1"/>
  <c r="AK43" i="36"/>
  <c r="AK45" i="36" s="1"/>
  <c r="AM41" i="36"/>
  <c r="AM43" i="36" s="1"/>
  <c r="AM45" i="36" s="1"/>
  <c r="AK57" i="36"/>
  <c r="AO136" i="36"/>
  <c r="AQ125" i="36"/>
  <c r="AR135" i="36"/>
  <c r="AS35" i="36"/>
  <c r="AR16" i="36"/>
  <c r="AR9" i="39" s="1"/>
  <c r="AR14" i="36"/>
  <c r="AV126" i="36"/>
  <c r="AQ128" i="36"/>
  <c r="AS7" i="36"/>
  <c r="AS135" i="36" s="1"/>
  <c r="AU123" i="36"/>
  <c r="AU7" i="36" s="1"/>
  <c r="AU135" i="36" s="1"/>
  <c r="AT123" i="36"/>
  <c r="AT7" i="36" s="1"/>
  <c r="AT135" i="36" s="1"/>
  <c r="AH5" i="36"/>
  <c r="AQ126" i="36"/>
  <c r="AM31" i="36"/>
  <c r="AM30" i="36"/>
  <c r="AR33" i="39" s="1"/>
  <c r="AF10" i="36"/>
  <c r="AF8" i="36"/>
  <c r="AQ115" i="36"/>
  <c r="AQ116" i="36" s="1"/>
  <c r="Z131" i="36"/>
  <c r="AM6" i="36"/>
  <c r="Z121" i="36"/>
  <c r="AD170" i="36"/>
  <c r="AP14" i="36"/>
  <c r="AQ129" i="36"/>
  <c r="AQ7" i="36"/>
  <c r="AQ119" i="36"/>
  <c r="AP16" i="36"/>
  <c r="AP9" i="39" s="1"/>
  <c r="AP10" i="39" s="1"/>
  <c r="AQ10" i="39" s="1"/>
  <c r="AQ104" i="36"/>
  <c r="AO153" i="36" l="1"/>
  <c r="AN155" i="36"/>
  <c r="AN30" i="36" s="1"/>
  <c r="AS33" i="39" s="1"/>
  <c r="AR118" i="36"/>
  <c r="AR120" i="36" s="1"/>
  <c r="AR121" i="36" s="1"/>
  <c r="AQ9" i="39"/>
  <c r="AR10" i="39"/>
  <c r="AF25" i="39"/>
  <c r="AF8" i="38"/>
  <c r="AF12" i="39"/>
  <c r="AR57" i="39"/>
  <c r="AQ57" i="39"/>
  <c r="AS110" i="36"/>
  <c r="AS112" i="36"/>
  <c r="AS118" i="36" s="1"/>
  <c r="AS120" i="36" s="1"/>
  <c r="AS121" i="36" s="1"/>
  <c r="AT115" i="36"/>
  <c r="AU115" i="36"/>
  <c r="AR85" i="36"/>
  <c r="AR87" i="36" s="1"/>
  <c r="AS83" i="36"/>
  <c r="AP76" i="36"/>
  <c r="AP78" i="36" s="1"/>
  <c r="AR74" i="36"/>
  <c r="AP90" i="36"/>
  <c r="AV90" i="36" s="1"/>
  <c r="AR52" i="36"/>
  <c r="AR54" i="36" s="1"/>
  <c r="AS50" i="36"/>
  <c r="AM46" i="36"/>
  <c r="AM62" i="36"/>
  <c r="AM59" i="36"/>
  <c r="AN41" i="36"/>
  <c r="AN43" i="36"/>
  <c r="AN45" i="36" s="1"/>
  <c r="AM57" i="36"/>
  <c r="AK62" i="36"/>
  <c r="AK46" i="36"/>
  <c r="AK59" i="36"/>
  <c r="AR136" i="36"/>
  <c r="AQ16" i="36"/>
  <c r="AV123" i="36"/>
  <c r="AV124" i="36" s="1"/>
  <c r="AV7" i="36"/>
  <c r="AS16" i="36"/>
  <c r="AS9" i="39" s="1"/>
  <c r="AS10" i="39" s="1"/>
  <c r="AS14" i="36"/>
  <c r="AT35" i="36"/>
  <c r="AU35" i="36" s="1"/>
  <c r="AH10" i="36"/>
  <c r="AQ42" i="36"/>
  <c r="AH133" i="36"/>
  <c r="AH8" i="36"/>
  <c r="AI5" i="36"/>
  <c r="AI133" i="36" s="1"/>
  <c r="AF140" i="36"/>
  <c r="AN31" i="36"/>
  <c r="AL41" i="36"/>
  <c r="AP136" i="36"/>
  <c r="AQ74" i="36"/>
  <c r="AQ83" i="36"/>
  <c r="AM134" i="36"/>
  <c r="AN6" i="36"/>
  <c r="AQ50" i="36"/>
  <c r="AE168" i="36"/>
  <c r="AQ14" i="36"/>
  <c r="AD18" i="36"/>
  <c r="AQ112" i="36"/>
  <c r="AQ110" i="36"/>
  <c r="AP153" i="36" l="1"/>
  <c r="AO155" i="36"/>
  <c r="AH25" i="39"/>
  <c r="AH8" i="38"/>
  <c r="AH15" i="39" s="1"/>
  <c r="AH12" i="39"/>
  <c r="AG8" i="38"/>
  <c r="AS57" i="39"/>
  <c r="AT110" i="36"/>
  <c r="AU110" i="36"/>
  <c r="AU112" i="36"/>
  <c r="AT112" i="36"/>
  <c r="AS85" i="36"/>
  <c r="AS87" i="36" s="1"/>
  <c r="AT83" i="36"/>
  <c r="AS74" i="36"/>
  <c r="AS76" i="36" s="1"/>
  <c r="AS78" i="36" s="1"/>
  <c r="AR90" i="36"/>
  <c r="AR76" i="36"/>
  <c r="AR78" i="36" s="1"/>
  <c r="AP95" i="36"/>
  <c r="AP79" i="36"/>
  <c r="AP92" i="36"/>
  <c r="AS52" i="36"/>
  <c r="AS54" i="36" s="1"/>
  <c r="AT50" i="36"/>
  <c r="AK60" i="36"/>
  <c r="AK64" i="36"/>
  <c r="AK67" i="36"/>
  <c r="AN46" i="36"/>
  <c r="AN62" i="36"/>
  <c r="AN59" i="36"/>
  <c r="AO41" i="36"/>
  <c r="AN57" i="36"/>
  <c r="AM67" i="36"/>
  <c r="AM60" i="36"/>
  <c r="AM64" i="36"/>
  <c r="AV115" i="36"/>
  <c r="AV116" i="36" s="1"/>
  <c r="AT16" i="36"/>
  <c r="AT9" i="39" s="1"/>
  <c r="AT10" i="39" s="1"/>
  <c r="AV104" i="36"/>
  <c r="AV128" i="36"/>
  <c r="AV119" i="36"/>
  <c r="AR6" i="36"/>
  <c r="AR134" i="36" s="1"/>
  <c r="AS136" i="36"/>
  <c r="AU14" i="36"/>
  <c r="AT14" i="36"/>
  <c r="AQ58" i="36"/>
  <c r="AO31" i="36"/>
  <c r="AH140" i="36"/>
  <c r="AO30" i="36"/>
  <c r="AT33" i="39" s="1"/>
  <c r="AI8" i="36"/>
  <c r="AI10" i="36"/>
  <c r="S23" i="36"/>
  <c r="S143" i="36" s="1"/>
  <c r="AN134" i="36"/>
  <c r="AE170" i="36"/>
  <c r="AQ111" i="36"/>
  <c r="AQ113" i="36"/>
  <c r="AP155" i="36" l="1"/>
  <c r="AQ155" i="36" s="1"/>
  <c r="AI25" i="39"/>
  <c r="AI8" i="38"/>
  <c r="AI15" i="39" s="1"/>
  <c r="AI12" i="39"/>
  <c r="AT57" i="39"/>
  <c r="AQ57" i="36"/>
  <c r="AQ139" i="36"/>
  <c r="AU118" i="36"/>
  <c r="AU120" i="36" s="1"/>
  <c r="AU121" i="36" s="1"/>
  <c r="AT118" i="36"/>
  <c r="AT120" i="36" s="1"/>
  <c r="AT121" i="36" s="1"/>
  <c r="AT85" i="36"/>
  <c r="AU83" i="36"/>
  <c r="AU85" i="36" s="1"/>
  <c r="AU87" i="36" s="1"/>
  <c r="AS79" i="36"/>
  <c r="AS95" i="36"/>
  <c r="AS92" i="36"/>
  <c r="AP100" i="36"/>
  <c r="AP93" i="36"/>
  <c r="AP97" i="36"/>
  <c r="AR95" i="36"/>
  <c r="AR79" i="36"/>
  <c r="AR92" i="36"/>
  <c r="AT74" i="36"/>
  <c r="AT76" i="36" s="1"/>
  <c r="AS90" i="36"/>
  <c r="AU50" i="36"/>
  <c r="AU52" i="36" s="1"/>
  <c r="AU54" i="36" s="1"/>
  <c r="AT52" i="36"/>
  <c r="AN64" i="36"/>
  <c r="AN60" i="36"/>
  <c r="AN67" i="36"/>
  <c r="AP41" i="36"/>
  <c r="AO57" i="36"/>
  <c r="AO43" i="36"/>
  <c r="AV129" i="36"/>
  <c r="AV35" i="36"/>
  <c r="AR153" i="36" s="1"/>
  <c r="AR155" i="36" s="1"/>
  <c r="AT136" i="36"/>
  <c r="AV112" i="36"/>
  <c r="AV113" i="36" s="1"/>
  <c r="AV110" i="36"/>
  <c r="AV111" i="36" s="1"/>
  <c r="AV14" i="36"/>
  <c r="AU16" i="36"/>
  <c r="AU9" i="39" s="1"/>
  <c r="AU10" i="39" s="1"/>
  <c r="AV10" i="39" s="1"/>
  <c r="AS6" i="36"/>
  <c r="AS134" i="36" s="1"/>
  <c r="AP31" i="36"/>
  <c r="AI140" i="36"/>
  <c r="AP30" i="36"/>
  <c r="AU33" i="39" s="1"/>
  <c r="AK5" i="36"/>
  <c r="AK133" i="36" s="1"/>
  <c r="AP6" i="36"/>
  <c r="AP134" i="36" s="1"/>
  <c r="AE18" i="36"/>
  <c r="AF168" i="36"/>
  <c r="AR31" i="36" l="1"/>
  <c r="AS153" i="36"/>
  <c r="AV9" i="39"/>
  <c r="AU57" i="39"/>
  <c r="AV33" i="39"/>
  <c r="AU74" i="36"/>
  <c r="AU90" i="36" s="1"/>
  <c r="AT90" i="36"/>
  <c r="AR100" i="36"/>
  <c r="AR97" i="36"/>
  <c r="AR93" i="36"/>
  <c r="AS100" i="36"/>
  <c r="AS97" i="36"/>
  <c r="AS93" i="36"/>
  <c r="AP43" i="36"/>
  <c r="AP45" i="36" s="1"/>
  <c r="AR41" i="36"/>
  <c r="AR43" i="36"/>
  <c r="AR45" i="36" s="1"/>
  <c r="AP57" i="36"/>
  <c r="AR30" i="36"/>
  <c r="AV16" i="36"/>
  <c r="AU136" i="36"/>
  <c r="AV50" i="36"/>
  <c r="AV83" i="36"/>
  <c r="AV125" i="36"/>
  <c r="AV42" i="36"/>
  <c r="AV58" i="36" s="1"/>
  <c r="S25" i="36"/>
  <c r="S29" i="36"/>
  <c r="AK10" i="36"/>
  <c r="AM5" i="36"/>
  <c r="AK8" i="36"/>
  <c r="AF170" i="36"/>
  <c r="AT153" i="36" l="1"/>
  <c r="AS155" i="36"/>
  <c r="AK8" i="38"/>
  <c r="AK25" i="39"/>
  <c r="AK12" i="39"/>
  <c r="AV57" i="39"/>
  <c r="AU76" i="36"/>
  <c r="AU78" i="36" s="1"/>
  <c r="AV57" i="36"/>
  <c r="AR59" i="36"/>
  <c r="AR62" i="36"/>
  <c r="AR46" i="36"/>
  <c r="AR57" i="36"/>
  <c r="AS41" i="36"/>
  <c r="AP46" i="36"/>
  <c r="AP62" i="36"/>
  <c r="AP59" i="36"/>
  <c r="AU6" i="36"/>
  <c r="AU134" i="36" s="1"/>
  <c r="AV74" i="36"/>
  <c r="AM8" i="36"/>
  <c r="AQ41" i="36"/>
  <c r="AV139" i="36" s="1"/>
  <c r="AK140" i="36"/>
  <c r="S34" i="36"/>
  <c r="AN5" i="36"/>
  <c r="AN133" i="36" s="1"/>
  <c r="S27" i="36"/>
  <c r="AM133" i="36"/>
  <c r="AM10" i="36"/>
  <c r="AH168" i="36"/>
  <c r="AF18" i="36"/>
  <c r="AS31" i="36" l="1"/>
  <c r="AS30" i="36"/>
  <c r="AU153" i="36"/>
  <c r="AU155" i="36" s="1"/>
  <c r="AT155" i="36"/>
  <c r="AU79" i="36"/>
  <c r="AM25" i="39"/>
  <c r="AM8" i="38"/>
  <c r="AM15" i="39" s="1"/>
  <c r="AM12" i="39"/>
  <c r="AL8" i="38"/>
  <c r="AU92" i="36"/>
  <c r="AU93" i="36" s="1"/>
  <c r="AU95" i="36"/>
  <c r="AT41" i="36"/>
  <c r="AT43" i="36"/>
  <c r="AS57" i="36"/>
  <c r="AS43" i="36"/>
  <c r="AS45" i="36" s="1"/>
  <c r="AP60" i="36"/>
  <c r="AP64" i="36"/>
  <c r="AP67" i="36"/>
  <c r="AR67" i="36"/>
  <c r="AR64" i="36"/>
  <c r="AR60" i="36"/>
  <c r="AN10" i="36"/>
  <c r="AM140" i="36"/>
  <c r="S147" i="36"/>
  <c r="S32" i="36"/>
  <c r="S33" i="36"/>
  <c r="S146" i="36" s="1"/>
  <c r="AN8" i="36"/>
  <c r="AG18" i="36"/>
  <c r="AH170" i="36"/>
  <c r="AT30" i="36" l="1"/>
  <c r="AU30" i="36" s="1"/>
  <c r="AV155" i="36"/>
  <c r="AT31" i="36"/>
  <c r="AU31" i="36" s="1"/>
  <c r="AU100" i="36"/>
  <c r="AU97" i="36"/>
  <c r="AN8" i="38"/>
  <c r="AN15" i="39" s="1"/>
  <c r="AN25" i="39"/>
  <c r="AN12" i="39"/>
  <c r="AS46" i="36"/>
  <c r="AS62" i="36"/>
  <c r="AS10" i="36" s="1"/>
  <c r="AS59" i="36"/>
  <c r="AT57" i="36"/>
  <c r="AU41" i="36"/>
  <c r="AU57" i="36" s="1"/>
  <c r="AR5" i="36"/>
  <c r="AR8" i="36" s="1"/>
  <c r="AR10" i="36"/>
  <c r="AS5" i="36"/>
  <c r="AP5" i="36"/>
  <c r="AN140" i="36"/>
  <c r="AI168" i="36"/>
  <c r="AH18" i="36"/>
  <c r="AR25" i="39" l="1"/>
  <c r="AR8" i="38"/>
  <c r="AR12" i="39"/>
  <c r="AU43" i="36"/>
  <c r="AU45" i="36" s="1"/>
  <c r="AS67" i="36"/>
  <c r="AS64" i="36"/>
  <c r="AS60" i="36"/>
  <c r="AR140" i="36"/>
  <c r="AR133" i="36"/>
  <c r="AS133" i="36"/>
  <c r="AS8" i="36"/>
  <c r="AV41" i="36"/>
  <c r="AP133" i="36"/>
  <c r="AP8" i="36"/>
  <c r="AP10" i="36"/>
  <c r="AI170" i="36"/>
  <c r="AS8" i="38" l="1"/>
  <c r="AS15" i="39" s="1"/>
  <c r="AS25" i="39"/>
  <c r="AS12" i="39"/>
  <c r="AP25" i="39"/>
  <c r="AP8" i="38"/>
  <c r="AP12" i="39"/>
  <c r="AU62" i="36"/>
  <c r="AU10" i="36" s="1"/>
  <c r="AU46" i="36"/>
  <c r="AU59" i="36"/>
  <c r="AS140" i="36"/>
  <c r="AU5" i="36"/>
  <c r="AU133" i="36" s="1"/>
  <c r="AP140" i="36"/>
  <c r="AJ168" i="36"/>
  <c r="AI18" i="36"/>
  <c r="AQ8" i="38" l="1"/>
  <c r="AR15" i="39"/>
  <c r="AU67" i="36"/>
  <c r="AU64" i="36"/>
  <c r="AU60" i="36"/>
  <c r="AU8" i="36"/>
  <c r="AJ170" i="36"/>
  <c r="AU8" i="38" l="1"/>
  <c r="AU25" i="39"/>
  <c r="AU12" i="39"/>
  <c r="AU140" i="36"/>
  <c r="AJ18" i="36"/>
  <c r="AK168" i="36"/>
  <c r="AV8" i="38" l="1"/>
  <c r="AK170" i="36"/>
  <c r="AM168" i="36" l="1"/>
  <c r="AK18" i="36"/>
  <c r="AL18" i="36" l="1"/>
  <c r="AM170" i="36"/>
  <c r="AN168" i="36" l="1"/>
  <c r="AM18" i="36"/>
  <c r="T23" i="36" l="1"/>
  <c r="T143" i="36" s="1"/>
  <c r="AN170" i="36"/>
  <c r="AN18" i="36" l="1"/>
  <c r="AO168" i="36"/>
  <c r="T25" i="36" l="1"/>
  <c r="T29" i="36"/>
  <c r="AO170" i="36"/>
  <c r="T34" i="36" l="1"/>
  <c r="T27" i="36"/>
  <c r="AP168" i="36"/>
  <c r="AO18" i="36"/>
  <c r="AR168" i="36" l="1"/>
  <c r="AR170" i="36" s="1"/>
  <c r="T147" i="36"/>
  <c r="T32" i="36"/>
  <c r="T33" i="36"/>
  <c r="T146" i="36" s="1"/>
  <c r="AP170" i="36"/>
  <c r="AS168" i="36" l="1"/>
  <c r="AS170" i="36" s="1"/>
  <c r="AS18" i="36" s="1"/>
  <c r="AT168" i="36"/>
  <c r="AT170" i="36" s="1"/>
  <c r="AR18" i="36"/>
  <c r="AP18" i="36"/>
  <c r="AU168" i="36" l="1"/>
  <c r="AU170" i="36" s="1"/>
  <c r="AT18" i="36"/>
  <c r="AQ18" i="36"/>
  <c r="AU18" i="36" l="1"/>
  <c r="AV18" i="36"/>
  <c r="U23" i="36" l="1"/>
  <c r="U143" i="36" s="1"/>
  <c r="AC143" i="36" l="1"/>
  <c r="AD143" i="36" s="1"/>
  <c r="U25" i="36"/>
  <c r="AE143" i="36" l="1"/>
  <c r="AF143" i="36" s="1"/>
  <c r="U27" i="36"/>
  <c r="AH143" i="36" l="1"/>
  <c r="U33" i="36"/>
  <c r="U146" i="36" s="1"/>
  <c r="U32" i="36"/>
  <c r="AI143" i="36" l="1"/>
  <c r="AJ143" i="36" l="1"/>
  <c r="AK143" i="36"/>
  <c r="AM143" i="36" l="1"/>
  <c r="AN143" i="36" s="1"/>
  <c r="AO143" i="36" l="1"/>
  <c r="AP143" i="36" s="1"/>
  <c r="AR143" i="36" l="1"/>
  <c r="AS143" i="36" l="1"/>
  <c r="AT143" i="36" s="1"/>
  <c r="AU143" i="36" l="1"/>
  <c r="W21" i="36" l="1"/>
  <c r="W62" i="36" l="1"/>
  <c r="W45" i="36"/>
  <c r="W46" i="36" s="1"/>
  <c r="U44" i="36"/>
  <c r="Z44" i="36" s="1"/>
  <c r="AE44" i="36" s="1"/>
  <c r="U46" i="36"/>
  <c r="W63" i="36" l="1"/>
  <c r="U59" i="36"/>
  <c r="U53" i="36"/>
  <c r="W54" i="36"/>
  <c r="Z53" i="36" l="1"/>
  <c r="AE53" i="36" s="1"/>
  <c r="Z45" i="36"/>
  <c r="U68" i="36"/>
  <c r="U65" i="36"/>
  <c r="U61" i="36"/>
  <c r="Z54" i="36"/>
  <c r="W60" i="36"/>
  <c r="W67" i="36"/>
  <c r="W59" i="36"/>
  <c r="AJ53" i="36" l="1"/>
  <c r="AO53" i="36" s="1"/>
  <c r="AT53" i="36" s="1"/>
  <c r="AE54" i="36"/>
  <c r="Z62" i="36"/>
  <c r="AB45" i="36"/>
  <c r="AB46" i="36" s="1"/>
  <c r="Z46" i="36"/>
  <c r="AJ44" i="36"/>
  <c r="AE45" i="36"/>
  <c r="V64" i="36"/>
  <c r="Y67" i="36"/>
  <c r="AA67" i="36"/>
  <c r="X67" i="36"/>
  <c r="U70" i="36"/>
  <c r="U71" i="36" s="1"/>
  <c r="W68" i="36"/>
  <c r="W61" i="36"/>
  <c r="Z59" i="36"/>
  <c r="AB54" i="36"/>
  <c r="AJ54" i="36" l="1"/>
  <c r="AT54" i="36"/>
  <c r="AO54" i="36"/>
  <c r="AE46" i="36"/>
  <c r="AE59" i="36"/>
  <c r="AE62" i="36"/>
  <c r="AG45" i="36"/>
  <c r="AG46" i="36" s="1"/>
  <c r="AO44" i="36"/>
  <c r="AJ45" i="36"/>
  <c r="AB62" i="36"/>
  <c r="AB63" i="36" s="1"/>
  <c r="W71" i="36"/>
  <c r="W72" i="36" s="1"/>
  <c r="W64" i="36"/>
  <c r="X64" i="36"/>
  <c r="Z67" i="36"/>
  <c r="AB59" i="36"/>
  <c r="AB47" i="36" s="1"/>
  <c r="Z60" i="36"/>
  <c r="AG54" i="36"/>
  <c r="U72" i="36"/>
  <c r="AT44" i="36" l="1"/>
  <c r="AO45" i="36"/>
  <c r="AG62" i="36"/>
  <c r="AG63" i="36" s="1"/>
  <c r="AJ62" i="36"/>
  <c r="AJ59" i="36"/>
  <c r="AJ46" i="36"/>
  <c r="AL45" i="36"/>
  <c r="AL46" i="36" s="1"/>
  <c r="AE64" i="36"/>
  <c r="AE67" i="36"/>
  <c r="AE60" i="36"/>
  <c r="Y64" i="36"/>
  <c r="W65" i="36"/>
  <c r="W70" i="36"/>
  <c r="V72" i="36"/>
  <c r="X70" i="36"/>
  <c r="X71" i="36" s="1"/>
  <c r="X72" i="36" s="1"/>
  <c r="AL54" i="36"/>
  <c r="AG59" i="36"/>
  <c r="AB60" i="36"/>
  <c r="AB67" i="36"/>
  <c r="AB68" i="36" s="1"/>
  <c r="AJ60" i="36" l="1"/>
  <c r="AJ64" i="36"/>
  <c r="AJ67" i="36"/>
  <c r="AO59" i="36"/>
  <c r="AO62" i="36"/>
  <c r="AO46" i="36"/>
  <c r="AQ45" i="36"/>
  <c r="AQ46" i="36" s="1"/>
  <c r="AT45" i="36"/>
  <c r="AL62" i="36"/>
  <c r="AL63" i="36" s="1"/>
  <c r="Y70" i="36"/>
  <c r="Y71" i="36" s="1"/>
  <c r="Z64" i="36"/>
  <c r="AQ54" i="36"/>
  <c r="AG67" i="36"/>
  <c r="AG68" i="36" s="1"/>
  <c r="AV54" i="36"/>
  <c r="AL59" i="36"/>
  <c r="AG60" i="36"/>
  <c r="AB61" i="36"/>
  <c r="AQ62" i="36" l="1"/>
  <c r="AQ63" i="36" s="1"/>
  <c r="AT59" i="36"/>
  <c r="AV59" i="36" s="1"/>
  <c r="AT46" i="36"/>
  <c r="AT62" i="36"/>
  <c r="AV45" i="36"/>
  <c r="AV46" i="36" s="1"/>
  <c r="AO60" i="36"/>
  <c r="AO67" i="36"/>
  <c r="AO64" i="36"/>
  <c r="Z70" i="36"/>
  <c r="Z71" i="36" s="1"/>
  <c r="Z72" i="36" s="1"/>
  <c r="AA64" i="36"/>
  <c r="Y72" i="36"/>
  <c r="AL67" i="36"/>
  <c r="AL68" i="36" s="1"/>
  <c r="AQ59" i="36"/>
  <c r="AG61" i="36"/>
  <c r="AV62" i="36" l="1"/>
  <c r="AV63" i="36" s="1"/>
  <c r="AT60" i="36"/>
  <c r="AT64" i="36"/>
  <c r="AT67" i="36"/>
  <c r="AB64" i="36"/>
  <c r="AB65" i="36" s="1"/>
  <c r="AL60" i="36"/>
  <c r="AQ67" i="36"/>
  <c r="AQ68" i="36" s="1"/>
  <c r="AV67" i="36" l="1"/>
  <c r="AV68" i="36" s="1"/>
  <c r="AQ60" i="36"/>
  <c r="AL61" i="36"/>
  <c r="AQ61" i="36" l="1"/>
  <c r="AV60" i="36" l="1"/>
  <c r="AG64" i="36" l="1"/>
  <c r="AG65" i="36" s="1"/>
  <c r="AV61" i="36"/>
  <c r="W95" i="36" l="1"/>
  <c r="U133" i="36"/>
  <c r="W78" i="36"/>
  <c r="W79" i="36" s="1"/>
  <c r="U77" i="36"/>
  <c r="Z77" i="36" s="1"/>
  <c r="U79" i="36"/>
  <c r="AE77" i="36" l="1"/>
  <c r="Z78" i="36"/>
  <c r="W96" i="36"/>
  <c r="U92" i="36"/>
  <c r="U134" i="36"/>
  <c r="U86" i="36"/>
  <c r="Z86" i="36" s="1"/>
  <c r="AE86" i="36" s="1"/>
  <c r="W87" i="36"/>
  <c r="AJ86" i="36" l="1"/>
  <c r="AO86" i="36" s="1"/>
  <c r="AT86" i="36" s="1"/>
  <c r="AE87" i="36"/>
  <c r="AB78" i="36"/>
  <c r="AB79" i="36" s="1"/>
  <c r="Z95" i="36"/>
  <c r="Z5" i="36"/>
  <c r="AB5" i="36" s="1"/>
  <c r="Z79" i="36"/>
  <c r="AJ77" i="36"/>
  <c r="AO77" i="36" s="1"/>
  <c r="AT77" i="36" s="1"/>
  <c r="AE78" i="36"/>
  <c r="Z87" i="36"/>
  <c r="AB87" i="36" s="1"/>
  <c r="U101" i="36"/>
  <c r="U98" i="36"/>
  <c r="U94" i="36"/>
  <c r="AL64" i="36"/>
  <c r="AL65" i="36" s="1"/>
  <c r="AG87" i="36"/>
  <c r="AE6" i="36"/>
  <c r="AE134" i="36" s="1"/>
  <c r="W92" i="36"/>
  <c r="W82" i="36" s="1"/>
  <c r="Z94" i="36" l="1"/>
  <c r="U180" i="36"/>
  <c r="U182" i="36"/>
  <c r="Z98" i="36"/>
  <c r="Z101" i="36"/>
  <c r="U183" i="36"/>
  <c r="Z133" i="36"/>
  <c r="AE79" i="36"/>
  <c r="AE95" i="36"/>
  <c r="AG78" i="36"/>
  <c r="AG79" i="36" s="1"/>
  <c r="AE5" i="36"/>
  <c r="AG5" i="36" s="1"/>
  <c r="AJ78" i="36"/>
  <c r="AB95" i="36"/>
  <c r="AB96" i="36" s="1"/>
  <c r="Z10" i="36"/>
  <c r="AB10" i="36" s="1"/>
  <c r="AE92" i="36"/>
  <c r="Z6" i="36"/>
  <c r="Z8" i="36" s="1"/>
  <c r="AJ87" i="36"/>
  <c r="Z92" i="36"/>
  <c r="AB92" i="36" s="1"/>
  <c r="AB82" i="36" s="1"/>
  <c r="V100" i="36"/>
  <c r="V93" i="36"/>
  <c r="V97" i="36"/>
  <c r="U103" i="36"/>
  <c r="U105" i="36" s="1"/>
  <c r="AG6" i="36"/>
  <c r="AE98" i="36" l="1"/>
  <c r="Z182" i="36"/>
  <c r="AE101" i="36"/>
  <c r="Z183" i="36"/>
  <c r="AJ92" i="36"/>
  <c r="Z180" i="36"/>
  <c r="AE94" i="36"/>
  <c r="AE133" i="36"/>
  <c r="AE8" i="36"/>
  <c r="AE140" i="36" s="1"/>
  <c r="AG8" i="36"/>
  <c r="AB6" i="36"/>
  <c r="AB8" i="36" s="1"/>
  <c r="AB140" i="36" s="1"/>
  <c r="AE97" i="36"/>
  <c r="AE100" i="36"/>
  <c r="AT78" i="36"/>
  <c r="AO78" i="36"/>
  <c r="AT87" i="36"/>
  <c r="AO87" i="36"/>
  <c r="AG92" i="36"/>
  <c r="AG82" i="36" s="1"/>
  <c r="Z134" i="36"/>
  <c r="AJ95" i="36"/>
  <c r="AJ79" i="36"/>
  <c r="AL78" i="36"/>
  <c r="AL79" i="36" s="1"/>
  <c r="AJ5" i="36"/>
  <c r="AL5" i="36" s="1"/>
  <c r="AG95" i="36"/>
  <c r="AG96" i="36" s="1"/>
  <c r="AE10" i="36"/>
  <c r="AG10" i="36" s="1"/>
  <c r="AE25" i="39"/>
  <c r="AG25" i="39" s="1"/>
  <c r="AG56" i="39" s="1"/>
  <c r="AE8" i="38"/>
  <c r="AE12" i="39"/>
  <c r="AG12" i="39" s="1"/>
  <c r="Z8" i="38"/>
  <c r="Z25" i="39"/>
  <c r="Z12" i="39"/>
  <c r="V11" i="36"/>
  <c r="W11" i="36" s="1"/>
  <c r="W97" i="36"/>
  <c r="W98" i="36" s="1"/>
  <c r="X100" i="36"/>
  <c r="X13" i="36" s="1"/>
  <c r="V13" i="36"/>
  <c r="W13" i="36" s="1"/>
  <c r="W100" i="36"/>
  <c r="W101" i="36" s="1"/>
  <c r="X97" i="36"/>
  <c r="X11" i="36" s="1"/>
  <c r="V9" i="36"/>
  <c r="V103" i="36"/>
  <c r="V105" i="36" s="1"/>
  <c r="W93" i="36"/>
  <c r="X93" i="36"/>
  <c r="U137" i="36"/>
  <c r="U106" i="36"/>
  <c r="AG140" i="36"/>
  <c r="Z140" i="36"/>
  <c r="AJ6" i="36"/>
  <c r="AJ134" i="36" s="1"/>
  <c r="AL87" i="36"/>
  <c r="AE180" i="36" l="1"/>
  <c r="AJ94" i="36"/>
  <c r="AJ101" i="36"/>
  <c r="AE183" i="36"/>
  <c r="AE93" i="36"/>
  <c r="AJ98" i="36"/>
  <c r="AE182" i="36"/>
  <c r="AT92" i="36"/>
  <c r="AJ133" i="36"/>
  <c r="AO92" i="36"/>
  <c r="AO95" i="36"/>
  <c r="AO79" i="36"/>
  <c r="AQ78" i="36"/>
  <c r="AO5" i="36"/>
  <c r="AQ5" i="36" s="1"/>
  <c r="AT95" i="36"/>
  <c r="AT79" i="36"/>
  <c r="AV78" i="36"/>
  <c r="AT5" i="36"/>
  <c r="AV5" i="36" s="1"/>
  <c r="AL95" i="36"/>
  <c r="AL96" i="36" s="1"/>
  <c r="AJ10" i="36"/>
  <c r="AL10" i="36" s="1"/>
  <c r="AE15" i="39"/>
  <c r="AF15" i="39"/>
  <c r="AB12" i="39"/>
  <c r="Z35" i="39"/>
  <c r="Z37" i="38" s="1"/>
  <c r="AB25" i="39"/>
  <c r="AB56" i="39" s="1"/>
  <c r="Z14" i="38"/>
  <c r="AA7" i="39" s="1"/>
  <c r="Z15" i="39"/>
  <c r="AA15" i="39"/>
  <c r="V9" i="38"/>
  <c r="V22" i="38"/>
  <c r="W9" i="36"/>
  <c r="W15" i="36" s="1"/>
  <c r="W17" i="36" s="1"/>
  <c r="V15" i="36"/>
  <c r="V106" i="36"/>
  <c r="Y97" i="36"/>
  <c r="W103" i="36"/>
  <c r="W94" i="36"/>
  <c r="W105" i="36"/>
  <c r="W106" i="36" s="1"/>
  <c r="X9" i="36"/>
  <c r="X103" i="36"/>
  <c r="X105" i="36" s="1"/>
  <c r="X106" i="36" s="1"/>
  <c r="Y100" i="36"/>
  <c r="Y93" i="36"/>
  <c r="AO6" i="36"/>
  <c r="AO134" i="36" s="1"/>
  <c r="AQ87" i="36"/>
  <c r="AL92" i="36"/>
  <c r="AL82" i="36" s="1"/>
  <c r="AJ8" i="36"/>
  <c r="AL6" i="36"/>
  <c r="AL8" i="36" s="1"/>
  <c r="AL65" i="39" s="1"/>
  <c r="AT6" i="36"/>
  <c r="AT134" i="36" s="1"/>
  <c r="AV87" i="36"/>
  <c r="AO133" i="36" l="1"/>
  <c r="AJ182" i="36"/>
  <c r="AO98" i="36"/>
  <c r="AJ97" i="36"/>
  <c r="AO101" i="36"/>
  <c r="AJ183" i="36"/>
  <c r="AJ100" i="36"/>
  <c r="AO94" i="36"/>
  <c r="AJ180" i="36"/>
  <c r="AJ93" i="36"/>
  <c r="AA99" i="36"/>
  <c r="AA127" i="36"/>
  <c r="AA66" i="36"/>
  <c r="AO100" i="36"/>
  <c r="AT133" i="36"/>
  <c r="AV95" i="36"/>
  <c r="AV96" i="36" s="1"/>
  <c r="AT10" i="36"/>
  <c r="AV10" i="36" s="1"/>
  <c r="AQ95" i="36"/>
  <c r="AQ96" i="36" s="1"/>
  <c r="AO10" i="36"/>
  <c r="AQ10" i="36" s="1"/>
  <c r="AJ8" i="38"/>
  <c r="AJ25" i="39"/>
  <c r="AL25" i="39" s="1"/>
  <c r="AL56" i="39" s="1"/>
  <c r="AJ12" i="39"/>
  <c r="AL12" i="39" s="1"/>
  <c r="AG15" i="39"/>
  <c r="AA14" i="38"/>
  <c r="AB14" i="38" s="1"/>
  <c r="AC7" i="39" s="1"/>
  <c r="AC14" i="38" s="1"/>
  <c r="AB7" i="39"/>
  <c r="AB15" i="39"/>
  <c r="AA35" i="39"/>
  <c r="AB35" i="39" s="1"/>
  <c r="AB37" i="39" s="1"/>
  <c r="Z37" i="39"/>
  <c r="X22" i="38"/>
  <c r="X18" i="39" s="1"/>
  <c r="X9" i="38"/>
  <c r="X16" i="39" s="1"/>
  <c r="V18" i="39"/>
  <c r="W18" i="39" s="1"/>
  <c r="W22" i="38"/>
  <c r="W30" i="38" s="1"/>
  <c r="W35" i="38" s="1"/>
  <c r="V30" i="38"/>
  <c r="V35" i="38" s="1"/>
  <c r="V16" i="39"/>
  <c r="W16" i="39" s="1"/>
  <c r="W9" i="38"/>
  <c r="Z100" i="36"/>
  <c r="Z13" i="36" s="1"/>
  <c r="Y11" i="36"/>
  <c r="Z97" i="36"/>
  <c r="Z11" i="36" s="1"/>
  <c r="AQ64" i="36"/>
  <c r="AQ65" i="36" s="1"/>
  <c r="Y9" i="36"/>
  <c r="Y103" i="36"/>
  <c r="Y105" i="36" s="1"/>
  <c r="X15" i="36"/>
  <c r="Z93" i="36"/>
  <c r="W19" i="36"/>
  <c r="W141" i="36"/>
  <c r="W23" i="36"/>
  <c r="V17" i="36"/>
  <c r="Y13" i="36"/>
  <c r="AL140" i="36"/>
  <c r="AO8" i="36"/>
  <c r="AQ6" i="36"/>
  <c r="AQ8" i="36" s="1"/>
  <c r="AJ140" i="36"/>
  <c r="AQ92" i="36"/>
  <c r="AV92" i="36"/>
  <c r="AV6" i="36"/>
  <c r="AV8" i="36" s="1"/>
  <c r="AT8" i="36"/>
  <c r="AO183" i="36" l="1"/>
  <c r="AT101" i="36"/>
  <c r="AO180" i="36"/>
  <c r="AT94" i="36"/>
  <c r="AO182" i="36"/>
  <c r="AT98" i="36"/>
  <c r="AO93" i="36"/>
  <c r="AO97" i="36"/>
  <c r="W142" i="36"/>
  <c r="W65" i="38"/>
  <c r="W64" i="38" s="1"/>
  <c r="AC99" i="36"/>
  <c r="AC127" i="36"/>
  <c r="AC66" i="36"/>
  <c r="AT25" i="39"/>
  <c r="AV25" i="39" s="1"/>
  <c r="AV56" i="39" s="1"/>
  <c r="AT8" i="38"/>
  <c r="AT12" i="39"/>
  <c r="AV12" i="39" s="1"/>
  <c r="AO25" i="39"/>
  <c r="AQ25" i="39" s="1"/>
  <c r="AQ56" i="39" s="1"/>
  <c r="AO8" i="38"/>
  <c r="AO12" i="39"/>
  <c r="AQ12" i="39" s="1"/>
  <c r="AJ15" i="39"/>
  <c r="AK15" i="39"/>
  <c r="AA37" i="38"/>
  <c r="AB37" i="38" s="1"/>
  <c r="Y22" i="38"/>
  <c r="Y30" i="38" s="1"/>
  <c r="Y35" i="38" s="1"/>
  <c r="Y9" i="38"/>
  <c r="Y16" i="39" s="1"/>
  <c r="AC35" i="39"/>
  <c r="AA37" i="39"/>
  <c r="AD7" i="39"/>
  <c r="AD14" i="38" s="1"/>
  <c r="AE7" i="39" s="1"/>
  <c r="AE14" i="38" s="1"/>
  <c r="X30" i="38"/>
  <c r="X35" i="38" s="1"/>
  <c r="Y106" i="36"/>
  <c r="Y15" i="36"/>
  <c r="AA97" i="36"/>
  <c r="AA11" i="36" s="1"/>
  <c r="AB11" i="36" s="1"/>
  <c r="Z103" i="36"/>
  <c r="Z105" i="36" s="1"/>
  <c r="Z106" i="36" s="1"/>
  <c r="Z9" i="36"/>
  <c r="AA93" i="36"/>
  <c r="V141" i="36"/>
  <c r="V19" i="36"/>
  <c r="V142" i="36" s="1"/>
  <c r="V23" i="36"/>
  <c r="V24" i="36" s="1"/>
  <c r="V137" i="36"/>
  <c r="X17" i="36"/>
  <c r="AA100" i="36"/>
  <c r="AQ140" i="36"/>
  <c r="AO140" i="36"/>
  <c r="AV140" i="36"/>
  <c r="AT140" i="36"/>
  <c r="AT180" i="36" l="1"/>
  <c r="AT93" i="36"/>
  <c r="AT183" i="36"/>
  <c r="AT100" i="36"/>
  <c r="AT182" i="36"/>
  <c r="AT97" i="36"/>
  <c r="AD127" i="36"/>
  <c r="AD99" i="36"/>
  <c r="AD66" i="36"/>
  <c r="AE127" i="36" s="1"/>
  <c r="AL15" i="39"/>
  <c r="Y18" i="39"/>
  <c r="AT15" i="39"/>
  <c r="AU15" i="39"/>
  <c r="AO15" i="39"/>
  <c r="AP15" i="39"/>
  <c r="AF7" i="39"/>
  <c r="AG7" i="39" s="1"/>
  <c r="AC37" i="39"/>
  <c r="AD35" i="39"/>
  <c r="AC103" i="36"/>
  <c r="AC105" i="36" s="1"/>
  <c r="AC106" i="36" s="1"/>
  <c r="AC37" i="38"/>
  <c r="Z22" i="38"/>
  <c r="Z9" i="38"/>
  <c r="Z16" i="39" s="1"/>
  <c r="AA13" i="36"/>
  <c r="AB13" i="36" s="1"/>
  <c r="AB100" i="36"/>
  <c r="AB101" i="36" s="1"/>
  <c r="X137" i="36"/>
  <c r="X19" i="36"/>
  <c r="X142" i="36" s="1"/>
  <c r="X141" i="36"/>
  <c r="Y17" i="36"/>
  <c r="V25" i="36"/>
  <c r="V6" i="39" s="1"/>
  <c r="W24" i="36"/>
  <c r="AB97" i="36"/>
  <c r="AB98" i="36" s="1"/>
  <c r="Z15" i="36"/>
  <c r="AA9" i="36"/>
  <c r="AB93" i="36"/>
  <c r="AB94" i="36" s="1"/>
  <c r="AB114" i="36"/>
  <c r="AB118" i="36" s="1"/>
  <c r="AB120" i="36" s="1"/>
  <c r="AB121" i="36" s="1"/>
  <c r="AA118" i="36"/>
  <c r="AA120" i="36" s="1"/>
  <c r="AA121" i="36" s="1"/>
  <c r="AB99" i="36"/>
  <c r="AA103" i="36"/>
  <c r="AA105" i="36" s="1"/>
  <c r="AB66" i="36"/>
  <c r="AB70" i="36" s="1"/>
  <c r="AA70" i="36"/>
  <c r="AA71" i="36" s="1"/>
  <c r="AA12" i="36"/>
  <c r="AB127" i="36"/>
  <c r="AB130" i="36" s="1"/>
  <c r="AB131" i="36" s="1"/>
  <c r="AA130" i="36"/>
  <c r="AA131" i="36" s="1"/>
  <c r="AE99" i="36" l="1"/>
  <c r="AE66" i="36"/>
  <c r="AF127" i="36" s="1"/>
  <c r="AD37" i="38"/>
  <c r="AF14" i="38"/>
  <c r="AV15" i="39"/>
  <c r="AQ15" i="39"/>
  <c r="Z18" i="39"/>
  <c r="Z30" i="38"/>
  <c r="Z35" i="38" s="1"/>
  <c r="AD37" i="39"/>
  <c r="AE35" i="39"/>
  <c r="AE37" i="38" s="1"/>
  <c r="AD103" i="36"/>
  <c r="AD105" i="36" s="1"/>
  <c r="AD106" i="36" s="1"/>
  <c r="AG14" i="38"/>
  <c r="AH7" i="39" s="1"/>
  <c r="AH14" i="38" s="1"/>
  <c r="AA22" i="38"/>
  <c r="AA9" i="38"/>
  <c r="W6" i="39"/>
  <c r="W22" i="39" s="1"/>
  <c r="V38" i="38"/>
  <c r="V22" i="39"/>
  <c r="V55" i="39" s="1"/>
  <c r="V148" i="36" s="1"/>
  <c r="AB103" i="36"/>
  <c r="AD13" i="36"/>
  <c r="AC9" i="36"/>
  <c r="AB9" i="36"/>
  <c r="AC13" i="36"/>
  <c r="AV64" i="36"/>
  <c r="AV65" i="36" s="1"/>
  <c r="Y19" i="36"/>
  <c r="Y142" i="36" s="1"/>
  <c r="Y141" i="36"/>
  <c r="Y137" i="36"/>
  <c r="Z17" i="36"/>
  <c r="W143" i="36"/>
  <c r="W25" i="36"/>
  <c r="AC11" i="36"/>
  <c r="AD9" i="36"/>
  <c r="V27" i="36"/>
  <c r="AD11" i="36"/>
  <c r="AB12" i="36"/>
  <c r="AA15" i="36"/>
  <c r="AA106" i="36"/>
  <c r="AB105" i="36"/>
  <c r="AB106" i="36" s="1"/>
  <c r="AB71" i="36"/>
  <c r="AB72" i="36" s="1"/>
  <c r="AA72" i="36"/>
  <c r="AF99" i="36" l="1"/>
  <c r="AF66" i="36"/>
  <c r="AH127" i="36" s="1"/>
  <c r="AD9" i="38"/>
  <c r="AD22" i="38"/>
  <c r="AC9" i="38"/>
  <c r="AC16" i="39" s="1"/>
  <c r="AC22" i="38"/>
  <c r="AC30" i="38" s="1"/>
  <c r="AC35" i="38" s="1"/>
  <c r="AA18" i="39"/>
  <c r="AB22" i="38"/>
  <c r="AB30" i="38" s="1"/>
  <c r="AB35" i="38" s="1"/>
  <c r="AA30" i="38"/>
  <c r="AA35" i="38" s="1"/>
  <c r="AE103" i="36"/>
  <c r="AE105" i="36" s="1"/>
  <c r="AE106" i="36" s="1"/>
  <c r="AI7" i="39"/>
  <c r="AI14" i="38" s="1"/>
  <c r="AE37" i="39"/>
  <c r="AF35" i="39"/>
  <c r="AB18" i="39"/>
  <c r="AB9" i="38"/>
  <c r="AA16" i="39"/>
  <c r="AB16" i="39" s="1"/>
  <c r="W38" i="38"/>
  <c r="W41" i="38" s="1"/>
  <c r="V41" i="38"/>
  <c r="W55" i="39"/>
  <c r="W148" i="36" s="1"/>
  <c r="AE9" i="36"/>
  <c r="V33" i="36"/>
  <c r="V146" i="36" s="1"/>
  <c r="V32" i="36"/>
  <c r="AE11" i="36"/>
  <c r="Z19" i="36"/>
  <c r="Z142" i="36" s="1"/>
  <c r="Z141" i="36"/>
  <c r="Z137" i="36"/>
  <c r="AB15" i="36"/>
  <c r="AB17" i="36" s="1"/>
  <c r="AB19" i="36" s="1"/>
  <c r="AB65" i="38" s="1"/>
  <c r="AB64" i="38" s="1"/>
  <c r="W27" i="36"/>
  <c r="AC12" i="36"/>
  <c r="AC70" i="36"/>
  <c r="AC71" i="36" s="1"/>
  <c r="AA17" i="36"/>
  <c r="AC130" i="36"/>
  <c r="AC131" i="36" s="1"/>
  <c r="AC18" i="39" l="1"/>
  <c r="AH99" i="36"/>
  <c r="AH66" i="36"/>
  <c r="AI127" i="36" s="1"/>
  <c r="AE9" i="38"/>
  <c r="AE16" i="39" s="1"/>
  <c r="AE22" i="38"/>
  <c r="AD18" i="39"/>
  <c r="AD30" i="38"/>
  <c r="AD35" i="38" s="1"/>
  <c r="AD16" i="39"/>
  <c r="AF37" i="39"/>
  <c r="AH35" i="39"/>
  <c r="AG35" i="39"/>
  <c r="AG37" i="39" s="1"/>
  <c r="AF103" i="36"/>
  <c r="AF105" i="36" s="1"/>
  <c r="AF106" i="36" s="1"/>
  <c r="AF37" i="38"/>
  <c r="AJ7" i="39"/>
  <c r="AJ14" i="38" s="1"/>
  <c r="V42" i="38"/>
  <c r="V62" i="38"/>
  <c r="W62" i="38"/>
  <c r="W42" i="38"/>
  <c r="AB141" i="36"/>
  <c r="AF11" i="36"/>
  <c r="AG11" i="36" s="1"/>
  <c r="W31" i="36"/>
  <c r="W33" i="36" s="1"/>
  <c r="W146" i="36" s="1"/>
  <c r="W30" i="36"/>
  <c r="W32" i="36" s="1"/>
  <c r="AD70" i="36"/>
  <c r="AD71" i="36" s="1"/>
  <c r="AE13" i="36"/>
  <c r="AF13" i="36"/>
  <c r="AC72" i="36"/>
  <c r="AC15" i="36"/>
  <c r="AD130" i="36"/>
  <c r="AD131" i="36" s="1"/>
  <c r="AA19" i="36"/>
  <c r="AA141" i="36"/>
  <c r="AA137" i="36"/>
  <c r="AB142" i="36"/>
  <c r="AI99" i="36" l="1"/>
  <c r="AI66" i="36"/>
  <c r="AJ127" i="36" s="1"/>
  <c r="AE18" i="39"/>
  <c r="AE30" i="38"/>
  <c r="AE35" i="38" s="1"/>
  <c r="AK7" i="39"/>
  <c r="AL7" i="39" s="1"/>
  <c r="AG37" i="38"/>
  <c r="AH37" i="38"/>
  <c r="AH103" i="36"/>
  <c r="AH105" i="36" s="1"/>
  <c r="AH106" i="36" s="1"/>
  <c r="AH37" i="39"/>
  <c r="AI35" i="39"/>
  <c r="V17" i="38"/>
  <c r="V7" i="38"/>
  <c r="V12" i="38"/>
  <c r="W12" i="38" s="1"/>
  <c r="AG100" i="36"/>
  <c r="AG101" i="36" s="1"/>
  <c r="AG97" i="36"/>
  <c r="AG98" i="36" s="1"/>
  <c r="AD12" i="36"/>
  <c r="AD15" i="36" s="1"/>
  <c r="AD17" i="36" s="1"/>
  <c r="AG13" i="36"/>
  <c r="AF9" i="36"/>
  <c r="AG93" i="36"/>
  <c r="AG94" i="36" s="1"/>
  <c r="W36" i="36"/>
  <c r="AA142" i="36"/>
  <c r="AC17" i="36"/>
  <c r="AD72" i="36"/>
  <c r="AJ99" i="36" l="1"/>
  <c r="AJ66" i="36"/>
  <c r="AK127" i="36" s="1"/>
  <c r="AK14" i="38"/>
  <c r="AL14" i="38" s="1"/>
  <c r="AM7" i="39" s="1"/>
  <c r="AM14" i="38" s="1"/>
  <c r="AF9" i="38"/>
  <c r="AF22" i="38"/>
  <c r="AJ35" i="39"/>
  <c r="AI37" i="39"/>
  <c r="AI37" i="38"/>
  <c r="AI103" i="36"/>
  <c r="AI105" i="36" s="1"/>
  <c r="AI106" i="36" s="1"/>
  <c r="AK99" i="36"/>
  <c r="V24" i="39"/>
  <c r="W7" i="38"/>
  <c r="V26" i="39"/>
  <c r="W26" i="39" s="1"/>
  <c r="W17" i="38"/>
  <c r="AH11" i="36"/>
  <c r="AI13" i="36"/>
  <c r="AH9" i="36"/>
  <c r="AI9" i="36"/>
  <c r="AI11" i="36"/>
  <c r="AH13" i="36"/>
  <c r="AG9" i="36"/>
  <c r="AE130" i="36"/>
  <c r="AE131" i="36" s="1"/>
  <c r="AC19" i="36"/>
  <c r="AC141" i="36"/>
  <c r="AC137" i="36"/>
  <c r="AE70" i="36"/>
  <c r="AE71" i="36" s="1"/>
  <c r="AE12" i="36"/>
  <c r="AD19" i="36"/>
  <c r="AD141" i="36"/>
  <c r="AD137" i="36"/>
  <c r="AK66" i="36" l="1"/>
  <c r="AM127" i="36" s="1"/>
  <c r="AJ37" i="38"/>
  <c r="AI9" i="38"/>
  <c r="AI22" i="38"/>
  <c r="AH22" i="38"/>
  <c r="AH30" i="38" s="1"/>
  <c r="AH35" i="38" s="1"/>
  <c r="AH9" i="38"/>
  <c r="AH16" i="39" s="1"/>
  <c r="AF18" i="39"/>
  <c r="AG18" i="39" s="1"/>
  <c r="AG22" i="38"/>
  <c r="AG30" i="38" s="1"/>
  <c r="AG35" i="38" s="1"/>
  <c r="AF30" i="38"/>
  <c r="AF35" i="38" s="1"/>
  <c r="AF16" i="39"/>
  <c r="AG16" i="39" s="1"/>
  <c r="AG9" i="38"/>
  <c r="AJ103" i="36"/>
  <c r="AJ105" i="36" s="1"/>
  <c r="AJ106" i="36" s="1"/>
  <c r="AK35" i="39"/>
  <c r="AK37" i="38" s="1"/>
  <c r="AJ37" i="39"/>
  <c r="AN7" i="39"/>
  <c r="W24" i="39"/>
  <c r="W27" i="39" s="1"/>
  <c r="W39" i="39" s="1"/>
  <c r="W41" i="39" s="1"/>
  <c r="V27" i="39"/>
  <c r="V39" i="39" s="1"/>
  <c r="V41" i="39" s="1"/>
  <c r="V6" i="38" s="1"/>
  <c r="AJ11" i="36"/>
  <c r="AJ9" i="36"/>
  <c r="AE72" i="36"/>
  <c r="AC142" i="36"/>
  <c r="AE15" i="36"/>
  <c r="AD142" i="36"/>
  <c r="AM99" i="36" l="1"/>
  <c r="AM66" i="36"/>
  <c r="AN127" i="36" s="1"/>
  <c r="AH18" i="39"/>
  <c r="AJ9" i="38"/>
  <c r="AJ16" i="39" s="1"/>
  <c r="AJ22" i="38"/>
  <c r="AL35" i="39"/>
  <c r="AL37" i="39" s="1"/>
  <c r="AI18" i="39"/>
  <c r="AI30" i="38"/>
  <c r="AI35" i="38" s="1"/>
  <c r="AI16" i="39"/>
  <c r="AL37" i="38"/>
  <c r="AN14" i="38"/>
  <c r="AO7" i="39" s="1"/>
  <c r="AO14" i="38" s="1"/>
  <c r="AM35" i="39"/>
  <c r="AK37" i="39"/>
  <c r="AK103" i="36"/>
  <c r="AK105" i="36" s="1"/>
  <c r="AK106" i="36" s="1"/>
  <c r="X21" i="36"/>
  <c r="W6" i="38"/>
  <c r="V46" i="39"/>
  <c r="V48" i="39" s="1"/>
  <c r="V11" i="38"/>
  <c r="V20" i="38" s="1"/>
  <c r="V43" i="38" s="1"/>
  <c r="X40" i="39"/>
  <c r="AB40" i="39"/>
  <c r="AK9" i="36"/>
  <c r="AK13" i="36"/>
  <c r="AK11" i="36"/>
  <c r="AL11" i="36" s="1"/>
  <c r="AL97" i="36"/>
  <c r="AL98" i="36" s="1"/>
  <c r="AJ13" i="36"/>
  <c r="AL13" i="36" s="1"/>
  <c r="AL100" i="36"/>
  <c r="AL101" i="36" s="1"/>
  <c r="AF130" i="36"/>
  <c r="AF131" i="36" s="1"/>
  <c r="AG127" i="36"/>
  <c r="AG130" i="36" s="1"/>
  <c r="AG131" i="36" s="1"/>
  <c r="AE17" i="36"/>
  <c r="AF70" i="36"/>
  <c r="AF71" i="36" s="1"/>
  <c r="AF12" i="36"/>
  <c r="AG66" i="36"/>
  <c r="AG70" i="36" s="1"/>
  <c r="AG99" i="36"/>
  <c r="AG103" i="36" s="1"/>
  <c r="AG114" i="36"/>
  <c r="AG118" i="36" s="1"/>
  <c r="AG120" i="36" s="1"/>
  <c r="AG121" i="36" s="1"/>
  <c r="AN99" i="36" l="1"/>
  <c r="AN66" i="36"/>
  <c r="AO127" i="36" s="1"/>
  <c r="AJ18" i="39"/>
  <c r="AJ30" i="38"/>
  <c r="AJ35" i="38" s="1"/>
  <c r="AL9" i="36"/>
  <c r="AK9" i="38"/>
  <c r="AK22" i="38"/>
  <c r="AN35" i="39"/>
  <c r="AM37" i="39"/>
  <c r="AM37" i="38"/>
  <c r="AM103" i="36"/>
  <c r="AM105" i="36" s="1"/>
  <c r="AM106" i="36" s="1"/>
  <c r="AP7" i="39"/>
  <c r="AP14" i="38" s="1"/>
  <c r="W46" i="39"/>
  <c r="W48" i="39" s="1"/>
  <c r="W11" i="38"/>
  <c r="W20" i="38" s="1"/>
  <c r="W43" i="38" s="1"/>
  <c r="AL93" i="36"/>
  <c r="AL94" i="36" s="1"/>
  <c r="X23" i="36"/>
  <c r="AF15" i="36"/>
  <c r="AG12" i="36"/>
  <c r="AG15" i="36" s="1"/>
  <c r="AG17" i="36" s="1"/>
  <c r="AE141" i="36"/>
  <c r="AE19" i="36"/>
  <c r="AE137" i="36"/>
  <c r="AF72" i="36"/>
  <c r="AG71" i="36"/>
  <c r="AG72" i="36" s="1"/>
  <c r="AG105" i="36"/>
  <c r="AG106" i="36" s="1"/>
  <c r="AO99" i="36" l="1"/>
  <c r="AO66" i="36"/>
  <c r="AP127" i="36" s="1"/>
  <c r="AN37" i="38"/>
  <c r="AQ7" i="39"/>
  <c r="AL9" i="38"/>
  <c r="AK16" i="39"/>
  <c r="AL16" i="39" s="1"/>
  <c r="AK18" i="39"/>
  <c r="AL18" i="39" s="1"/>
  <c r="AL22" i="38"/>
  <c r="AL30" i="38" s="1"/>
  <c r="AL35" i="38" s="1"/>
  <c r="AK30" i="38"/>
  <c r="AK35" i="38" s="1"/>
  <c r="AQ14" i="38"/>
  <c r="AR7" i="39" s="1"/>
  <c r="AR14" i="38" s="1"/>
  <c r="AN103" i="36"/>
  <c r="AN105" i="36" s="1"/>
  <c r="AN106" i="36" s="1"/>
  <c r="AP66" i="36"/>
  <c r="AN37" i="39"/>
  <c r="AO35" i="39"/>
  <c r="X24" i="36"/>
  <c r="X25" i="36" s="1"/>
  <c r="X6" i="39" s="1"/>
  <c r="AM9" i="36"/>
  <c r="AM13" i="36"/>
  <c r="AN13" i="36"/>
  <c r="AN9" i="36"/>
  <c r="AM11" i="36"/>
  <c r="AN11" i="36"/>
  <c r="AG19" i="36"/>
  <c r="AG65" i="38" s="1"/>
  <c r="AG64" i="38" s="1"/>
  <c r="AG141" i="36"/>
  <c r="AF17" i="36"/>
  <c r="AH70" i="36"/>
  <c r="AH71" i="36" s="1"/>
  <c r="AH12" i="36"/>
  <c r="AE142" i="36"/>
  <c r="AH130" i="36"/>
  <c r="AH131" i="36" s="1"/>
  <c r="AP99" i="36" l="1"/>
  <c r="AR127" i="36" s="1"/>
  <c r="AM9" i="38"/>
  <c r="AM16" i="39" s="1"/>
  <c r="AM22" i="38"/>
  <c r="AN9" i="38"/>
  <c r="AN16" i="39" s="1"/>
  <c r="AN22" i="38"/>
  <c r="AO37" i="39"/>
  <c r="AP35" i="39"/>
  <c r="AQ35" i="39" s="1"/>
  <c r="AQ37" i="39" s="1"/>
  <c r="AO103" i="36"/>
  <c r="AO105" i="36" s="1"/>
  <c r="AO106" i="36" s="1"/>
  <c r="AR99" i="36"/>
  <c r="AO37" i="38"/>
  <c r="AP37" i="38" s="1"/>
  <c r="AS7" i="39"/>
  <c r="AS14" i="38" s="1"/>
  <c r="X38" i="38"/>
  <c r="X41" i="38" s="1"/>
  <c r="X22" i="39"/>
  <c r="X55" i="39" s="1"/>
  <c r="X148" i="36" s="1"/>
  <c r="AO13" i="36"/>
  <c r="X27" i="36"/>
  <c r="AF19" i="36"/>
  <c r="AF141" i="36"/>
  <c r="AF137" i="36"/>
  <c r="AG142" i="36"/>
  <c r="AH72" i="36"/>
  <c r="AH15" i="36"/>
  <c r="AR66" i="36" l="1"/>
  <c r="AS127" i="36" s="1"/>
  <c r="AN18" i="39"/>
  <c r="AN30" i="38"/>
  <c r="AN35" i="38" s="1"/>
  <c r="AM30" i="38"/>
  <c r="AM35" i="38" s="1"/>
  <c r="AM18" i="39"/>
  <c r="AT7" i="39"/>
  <c r="AT14" i="38" s="1"/>
  <c r="AQ37" i="38"/>
  <c r="AP37" i="39"/>
  <c r="AR35" i="39"/>
  <c r="AS66" i="36"/>
  <c r="AP103" i="36"/>
  <c r="AP105" i="36" s="1"/>
  <c r="AP106" i="36" s="1"/>
  <c r="X42" i="38"/>
  <c r="X62" i="38"/>
  <c r="AO11" i="36"/>
  <c r="AO9" i="36"/>
  <c r="AP9" i="36"/>
  <c r="X32" i="36"/>
  <c r="X33" i="36"/>
  <c r="X146" i="36" s="1"/>
  <c r="AP11" i="36"/>
  <c r="AI130" i="36"/>
  <c r="AI131" i="36" s="1"/>
  <c r="AI70" i="36"/>
  <c r="AI71" i="36" s="1"/>
  <c r="AI12" i="36"/>
  <c r="AF142" i="36"/>
  <c r="AH17" i="36"/>
  <c r="AS99" i="36" l="1"/>
  <c r="AT127" i="36" s="1"/>
  <c r="AP9" i="38"/>
  <c r="AP22" i="38"/>
  <c r="AO9" i="38"/>
  <c r="AO16" i="39" s="1"/>
  <c r="AO22" i="38"/>
  <c r="AS35" i="39"/>
  <c r="AR37" i="39"/>
  <c r="AR103" i="36"/>
  <c r="AR105" i="36" s="1"/>
  <c r="AR106" i="36" s="1"/>
  <c r="AR37" i="38"/>
  <c r="AS37" i="38" s="1"/>
  <c r="AU7" i="39"/>
  <c r="AV7" i="39" s="1"/>
  <c r="X17" i="38"/>
  <c r="X26" i="39" s="1"/>
  <c r="X7" i="38"/>
  <c r="X12" i="38"/>
  <c r="AQ93" i="36"/>
  <c r="AQ94" i="36" s="1"/>
  <c r="AQ9" i="36"/>
  <c r="AQ97" i="36"/>
  <c r="AQ98" i="36" s="1"/>
  <c r="AP13" i="36"/>
  <c r="AQ13" i="36" s="1"/>
  <c r="AQ100" i="36"/>
  <c r="AQ101" i="36" s="1"/>
  <c r="AQ11" i="36"/>
  <c r="AI15" i="36"/>
  <c r="AI72" i="36"/>
  <c r="AJ70" i="36"/>
  <c r="AJ71" i="36" s="1"/>
  <c r="AJ12" i="36"/>
  <c r="AJ15" i="36" s="1"/>
  <c r="AH141" i="36"/>
  <c r="AH19" i="36"/>
  <c r="AH137" i="36"/>
  <c r="AJ130" i="36"/>
  <c r="AJ131" i="36" s="1"/>
  <c r="AT99" i="36" l="1"/>
  <c r="AT66" i="36"/>
  <c r="AU127" i="36" s="1"/>
  <c r="AO18" i="39"/>
  <c r="AO30" i="38"/>
  <c r="AO35" i="38" s="1"/>
  <c r="AQ9" i="38"/>
  <c r="AP16" i="39"/>
  <c r="AQ16" i="39" s="1"/>
  <c r="AQ22" i="38"/>
  <c r="AQ30" i="38" s="1"/>
  <c r="AQ35" i="38" s="1"/>
  <c r="AP18" i="39"/>
  <c r="AP30" i="38"/>
  <c r="AP35" i="38" s="1"/>
  <c r="AU14" i="38"/>
  <c r="AV14" i="38" s="1"/>
  <c r="AS103" i="36"/>
  <c r="AS105" i="36" s="1"/>
  <c r="AS106" i="36" s="1"/>
  <c r="AT35" i="39"/>
  <c r="AT37" i="38" s="1"/>
  <c r="AS37" i="39"/>
  <c r="X24" i="39"/>
  <c r="X27" i="39" s="1"/>
  <c r="AR13" i="36"/>
  <c r="AR9" i="36"/>
  <c r="AS9" i="36"/>
  <c r="AR11" i="36"/>
  <c r="AS13" i="36"/>
  <c r="AS11" i="36"/>
  <c r="AH142" i="36"/>
  <c r="AJ17" i="36"/>
  <c r="AL114" i="36"/>
  <c r="AL118" i="36" s="1"/>
  <c r="AL120" i="36" s="1"/>
  <c r="AL121" i="36" s="1"/>
  <c r="AL99" i="36"/>
  <c r="AL103" i="36" s="1"/>
  <c r="AJ72" i="36"/>
  <c r="AK70" i="36"/>
  <c r="AK71" i="36" s="1"/>
  <c r="AL71" i="36" s="1"/>
  <c r="AL72" i="36" s="1"/>
  <c r="AK12" i="36"/>
  <c r="AK15" i="36" s="1"/>
  <c r="AL66" i="36"/>
  <c r="AL70" i="36" s="1"/>
  <c r="AK130" i="36"/>
  <c r="AK131" i="36" s="1"/>
  <c r="AL127" i="36"/>
  <c r="AL130" i="36" s="1"/>
  <c r="AL131" i="36" s="1"/>
  <c r="AI17" i="36"/>
  <c r="AU99" i="36" l="1"/>
  <c r="AU66" i="36"/>
  <c r="AS9" i="38"/>
  <c r="AS22" i="38"/>
  <c r="AR9" i="38"/>
  <c r="AR16" i="39" s="1"/>
  <c r="AR22" i="38"/>
  <c r="AQ18" i="39"/>
  <c r="AT37" i="39"/>
  <c r="AU35" i="39"/>
  <c r="AU37" i="39" s="1"/>
  <c r="AU103" i="36"/>
  <c r="AU105" i="36" s="1"/>
  <c r="AU106" i="36" s="1"/>
  <c r="AT103" i="36"/>
  <c r="AT105" i="36" s="1"/>
  <c r="AT106" i="36" s="1"/>
  <c r="X39" i="39"/>
  <c r="X41" i="39" s="1"/>
  <c r="AU9" i="36"/>
  <c r="AT9" i="36"/>
  <c r="AU11" i="36"/>
  <c r="AV93" i="36"/>
  <c r="AV94" i="36" s="1"/>
  <c r="AU13" i="36"/>
  <c r="AL12" i="36"/>
  <c r="AL15" i="36" s="1"/>
  <c r="AL17" i="36" s="1"/>
  <c r="AL105" i="36"/>
  <c r="AL106" i="36" s="1"/>
  <c r="AK17" i="36"/>
  <c r="AM130" i="36"/>
  <c r="AM131" i="36" s="1"/>
  <c r="AI141" i="36"/>
  <c r="AI19" i="36"/>
  <c r="AI137" i="36"/>
  <c r="AJ141" i="36"/>
  <c r="AJ19" i="36"/>
  <c r="AK72" i="36"/>
  <c r="AM12" i="36"/>
  <c r="AM70" i="36"/>
  <c r="AM71" i="36" s="1"/>
  <c r="AJ137" i="36"/>
  <c r="AK137" i="36" l="1"/>
  <c r="AL19" i="36"/>
  <c r="AL65" i="38" s="1"/>
  <c r="AL64" i="38" s="1"/>
  <c r="AV35" i="39"/>
  <c r="AV37" i="39" s="1"/>
  <c r="AR30" i="38"/>
  <c r="AR35" i="38" s="1"/>
  <c r="AR18" i="39"/>
  <c r="AU22" i="38"/>
  <c r="AU9" i="38"/>
  <c r="AS18" i="39"/>
  <c r="AS30" i="38"/>
  <c r="AS35" i="38" s="1"/>
  <c r="AT22" i="38"/>
  <c r="AT9" i="38"/>
  <c r="AT16" i="39" s="1"/>
  <c r="AS16" i="39"/>
  <c r="AU37" i="38"/>
  <c r="AV37" i="38" s="1"/>
  <c r="Y40" i="39"/>
  <c r="X6" i="38"/>
  <c r="Y21" i="36" s="1"/>
  <c r="AV9" i="36"/>
  <c r="AT13" i="36"/>
  <c r="AV13" i="36" s="1"/>
  <c r="AV100" i="36"/>
  <c r="AV101" i="36" s="1"/>
  <c r="AT11" i="36"/>
  <c r="AV11" i="36" s="1"/>
  <c r="AV97" i="36"/>
  <c r="AV98" i="36" s="1"/>
  <c r="AL141" i="36"/>
  <c r="AN130" i="36"/>
  <c r="AN131" i="36" s="1"/>
  <c r="AK141" i="36"/>
  <c r="AK19" i="36"/>
  <c r="AM72" i="36"/>
  <c r="AM15" i="36"/>
  <c r="AI142" i="36"/>
  <c r="AJ142" i="36"/>
  <c r="AL142" i="36"/>
  <c r="X46" i="39" l="1"/>
  <c r="X48" i="39" s="1"/>
  <c r="X11" i="38"/>
  <c r="X20" i="38" s="1"/>
  <c r="X43" i="38" s="1"/>
  <c r="AT18" i="39"/>
  <c r="AT30" i="38"/>
  <c r="AT35" i="38" s="1"/>
  <c r="AV9" i="38"/>
  <c r="AU16" i="39"/>
  <c r="AV16" i="39" s="1"/>
  <c r="AV22" i="38"/>
  <c r="AV30" i="38" s="1"/>
  <c r="AV35" i="38" s="1"/>
  <c r="AU18" i="39"/>
  <c r="AV18" i="39" s="1"/>
  <c r="AU30" i="38"/>
  <c r="AU35" i="38" s="1"/>
  <c r="AK142" i="36"/>
  <c r="AM17" i="36"/>
  <c r="AN70" i="36"/>
  <c r="AN71" i="36" s="1"/>
  <c r="AN12" i="36"/>
  <c r="AO70" i="36" l="1"/>
  <c r="AO71" i="36" s="1"/>
  <c r="AN15" i="36"/>
  <c r="AM141" i="36"/>
  <c r="AM19" i="36"/>
  <c r="AM137" i="36"/>
  <c r="AN72" i="36"/>
  <c r="Y23" i="36" l="1"/>
  <c r="AQ114" i="36"/>
  <c r="AQ118" i="36" s="1"/>
  <c r="AQ120" i="36" s="1"/>
  <c r="AQ121" i="36" s="1"/>
  <c r="AQ127" i="36"/>
  <c r="AQ130" i="36" s="1"/>
  <c r="AQ131" i="36" s="1"/>
  <c r="AO130" i="36"/>
  <c r="AO131" i="36" s="1"/>
  <c r="AO72" i="36"/>
  <c r="AO12" i="36"/>
  <c r="AN17" i="36"/>
  <c r="AM142" i="36"/>
  <c r="Y24" i="36" l="1"/>
  <c r="Y25" i="36" s="1"/>
  <c r="Y6" i="39" s="1"/>
  <c r="AN141" i="36"/>
  <c r="AN19" i="36"/>
  <c r="AN137" i="36"/>
  <c r="AP12" i="36"/>
  <c r="AP15" i="36" s="1"/>
  <c r="AP70" i="36"/>
  <c r="AP71" i="36" s="1"/>
  <c r="AQ66" i="36"/>
  <c r="AQ70" i="36" s="1"/>
  <c r="AO15" i="36"/>
  <c r="AQ12" i="36"/>
  <c r="AQ15" i="36" s="1"/>
  <c r="AQ17" i="36" s="1"/>
  <c r="AP130" i="36"/>
  <c r="AP131" i="36" s="1"/>
  <c r="AQ99" i="36"/>
  <c r="AQ103" i="36" s="1"/>
  <c r="Y38" i="38" l="1"/>
  <c r="Y22" i="39"/>
  <c r="Y27" i="36"/>
  <c r="AR130" i="36"/>
  <c r="AR131" i="36" s="1"/>
  <c r="AQ141" i="36"/>
  <c r="AQ19" i="36"/>
  <c r="AQ65" i="38" s="1"/>
  <c r="AQ64" i="38" s="1"/>
  <c r="AR12" i="36"/>
  <c r="AR70" i="36"/>
  <c r="AR71" i="36" s="1"/>
  <c r="AN142" i="36"/>
  <c r="AO17" i="36"/>
  <c r="AP72" i="36"/>
  <c r="AQ71" i="36"/>
  <c r="AQ72" i="36" s="1"/>
  <c r="AP17" i="36"/>
  <c r="AQ105" i="36"/>
  <c r="AQ106" i="36" s="1"/>
  <c r="AP137" i="36" l="1"/>
  <c r="Y55" i="39"/>
  <c r="Y148" i="36" s="1"/>
  <c r="Y41" i="38"/>
  <c r="Y32" i="36"/>
  <c r="Y33" i="36"/>
  <c r="Y146" i="36" s="1"/>
  <c r="AQ142" i="36"/>
  <c r="AO19" i="36"/>
  <c r="AO141" i="36"/>
  <c r="AO137" i="36"/>
  <c r="AP141" i="36"/>
  <c r="AP19" i="36"/>
  <c r="AR72" i="36"/>
  <c r="AS70" i="36"/>
  <c r="AS71" i="36" s="1"/>
  <c r="AR15" i="36"/>
  <c r="AR17" i="36" s="1"/>
  <c r="AR137" i="36" l="1"/>
  <c r="Y62" i="38"/>
  <c r="Y42" i="38"/>
  <c r="AS130" i="36"/>
  <c r="AS131" i="36" s="1"/>
  <c r="AO142" i="36"/>
  <c r="AR19" i="36"/>
  <c r="AR141" i="36"/>
  <c r="AS72" i="36"/>
  <c r="AS12" i="36"/>
  <c r="AP142" i="36"/>
  <c r="Y17" i="38" l="1"/>
  <c r="Y7" i="38"/>
  <c r="Y12" i="38"/>
  <c r="AR142" i="36"/>
  <c r="AS15" i="36"/>
  <c r="AS17" i="36" s="1"/>
  <c r="AS137" i="36" l="1"/>
  <c r="Y24" i="39"/>
  <c r="Y26" i="39"/>
  <c r="AV114" i="36"/>
  <c r="AV118" i="36" s="1"/>
  <c r="AV120" i="36" s="1"/>
  <c r="AV121" i="36" s="1"/>
  <c r="AT130" i="36"/>
  <c r="AT131" i="36" s="1"/>
  <c r="AU130" i="36"/>
  <c r="AU131" i="36" s="1"/>
  <c r="AS19" i="36"/>
  <c r="AS141" i="36"/>
  <c r="AV66" i="36"/>
  <c r="AV70" i="36" s="1"/>
  <c r="AT70" i="36"/>
  <c r="AT71" i="36" s="1"/>
  <c r="AT12" i="36"/>
  <c r="Y27" i="39" l="1"/>
  <c r="Y39" i="39" s="1"/>
  <c r="Y41" i="39" s="1"/>
  <c r="AS142" i="36"/>
  <c r="AV99" i="36"/>
  <c r="AV103" i="36" s="1"/>
  <c r="AV127" i="36"/>
  <c r="AV130" i="36" s="1"/>
  <c r="AV131" i="36" s="1"/>
  <c r="AT15" i="36"/>
  <c r="AT17" i="36" s="1"/>
  <c r="AT137" i="36" s="1"/>
  <c r="AT72" i="36"/>
  <c r="AU12" i="36"/>
  <c r="AU15" i="36" s="1"/>
  <c r="AU17" i="36" s="1"/>
  <c r="AU70" i="36"/>
  <c r="AU71" i="36" s="1"/>
  <c r="AV71" i="36" s="1"/>
  <c r="AV72" i="36" s="1"/>
  <c r="Y6" i="38" l="1"/>
  <c r="Z40" i="39"/>
  <c r="AV12" i="36"/>
  <c r="AV15" i="36" s="1"/>
  <c r="AV17" i="36" s="1"/>
  <c r="AU141" i="36"/>
  <c r="AU19" i="36"/>
  <c r="AT141" i="36"/>
  <c r="AT19" i="36"/>
  <c r="AV105" i="36"/>
  <c r="AV106" i="36" s="1"/>
  <c r="AU72" i="36"/>
  <c r="AU137" i="36"/>
  <c r="Z21" i="36" l="1"/>
  <c r="Y46" i="39"/>
  <c r="Y48" i="39" s="1"/>
  <c r="Y11" i="38"/>
  <c r="Y20" i="38" s="1"/>
  <c r="Y43" i="38" s="1"/>
  <c r="AT142" i="36"/>
  <c r="AU142" i="36"/>
  <c r="AV19" i="36"/>
  <c r="AV65" i="38" s="1"/>
  <c r="AV64" i="38" s="1"/>
  <c r="AV141" i="36"/>
  <c r="Z23" i="36" l="1"/>
  <c r="Z24" i="36" s="1"/>
  <c r="AV142" i="36"/>
  <c r="Z25" i="36" l="1"/>
  <c r="Z6" i="39" s="1"/>
  <c r="Z22" i="39" l="1"/>
  <c r="Z38" i="38"/>
  <c r="Z27" i="36"/>
  <c r="Z41" i="38" l="1"/>
  <c r="Z55" i="39"/>
  <c r="Z148" i="36" s="1"/>
  <c r="Z32" i="36"/>
  <c r="Z33" i="36"/>
  <c r="Z146" i="36" s="1"/>
  <c r="Z42" i="38" l="1"/>
  <c r="Z62" i="38"/>
  <c r="Z7" i="38" l="1"/>
  <c r="Z12" i="38"/>
  <c r="Z17" i="38"/>
  <c r="Z26" i="39" l="1"/>
  <c r="Z24" i="39"/>
  <c r="Z27" i="39" l="1"/>
  <c r="Z39" i="39" s="1"/>
  <c r="Z41" i="39" s="1"/>
  <c r="Z6" i="38" l="1"/>
  <c r="AA40" i="39"/>
  <c r="AA21" i="36" l="1"/>
  <c r="Z46" i="39"/>
  <c r="Z48" i="39" s="1"/>
  <c r="Z11" i="38"/>
  <c r="Z20" i="38" s="1"/>
  <c r="Z43" i="38" s="1"/>
  <c r="AA23" i="36" l="1"/>
  <c r="AB21" i="36"/>
  <c r="AB23" i="36" s="1"/>
  <c r="AA24" i="36" l="1"/>
  <c r="AB24" i="36" s="1"/>
  <c r="AB143" i="36" s="1"/>
  <c r="AA25" i="36" l="1"/>
  <c r="AA6" i="39" s="1"/>
  <c r="AB6" i="39" s="1"/>
  <c r="AB22" i="39" s="1"/>
  <c r="AB55" i="39" s="1"/>
  <c r="AB148" i="36" s="1"/>
  <c r="AB25" i="36"/>
  <c r="AB27" i="36" s="1"/>
  <c r="AA27" i="36" l="1"/>
  <c r="AB31" i="36" s="1"/>
  <c r="AB33" i="36" s="1"/>
  <c r="AB36" i="36" s="1"/>
  <c r="AA22" i="39"/>
  <c r="AA38" i="38"/>
  <c r="AA33" i="36" l="1"/>
  <c r="AA146" i="36" s="1"/>
  <c r="AA32" i="36"/>
  <c r="AB30" i="36"/>
  <c r="AB32" i="36" s="1"/>
  <c r="AB38" i="38"/>
  <c r="AB41" i="38" s="1"/>
  <c r="AB42" i="38" s="1"/>
  <c r="AA41" i="38"/>
  <c r="AA55" i="39"/>
  <c r="AA148" i="36" s="1"/>
  <c r="AB146" i="36"/>
  <c r="AA62" i="38" l="1"/>
  <c r="AA42" i="38"/>
  <c r="AA12" i="38" l="1"/>
  <c r="AB12" i="38" s="1"/>
  <c r="AA7" i="38"/>
  <c r="AA17" i="38"/>
  <c r="AA26" i="39" l="1"/>
  <c r="AB26" i="39" s="1"/>
  <c r="AB17" i="38"/>
  <c r="AA24" i="39"/>
  <c r="AB7" i="38"/>
  <c r="AA27" i="39" l="1"/>
  <c r="AA39" i="39" s="1"/>
  <c r="AA41" i="39" s="1"/>
  <c r="AA6" i="38" s="1"/>
  <c r="AB24" i="39"/>
  <c r="AB27" i="39" s="1"/>
  <c r="AB39" i="39" s="1"/>
  <c r="AB41" i="39" s="1"/>
  <c r="AC40" i="39" l="1"/>
  <c r="AG40" i="39"/>
  <c r="AC21" i="36"/>
  <c r="AA46" i="39"/>
  <c r="AA48" i="39" s="1"/>
  <c r="AA11" i="38"/>
  <c r="AA20" i="38" s="1"/>
  <c r="AA43" i="38" s="1"/>
  <c r="AB6" i="38"/>
  <c r="AB46" i="39" l="1"/>
  <c r="AB48" i="39" s="1"/>
  <c r="AB11" i="38"/>
  <c r="AB20" i="38" s="1"/>
  <c r="AB43" i="38" s="1"/>
  <c r="AC23" i="36"/>
  <c r="AC24" i="36" s="1"/>
  <c r="AC25" i="36" s="1"/>
  <c r="AC27" i="36" l="1"/>
  <c r="AC33" i="36" s="1"/>
  <c r="AC146" i="36" s="1"/>
  <c r="AC6" i="39"/>
  <c r="AC32" i="36" l="1"/>
  <c r="AC22" i="39"/>
  <c r="AC55" i="39" s="1"/>
  <c r="AC148" i="36" s="1"/>
  <c r="AC38" i="38"/>
  <c r="AC41" i="38" s="1"/>
  <c r="AC42" i="38" l="1"/>
  <c r="AC62" i="38"/>
  <c r="AC7" i="38" l="1"/>
  <c r="AC17" i="38"/>
  <c r="AC26" i="39" s="1"/>
  <c r="AC12" i="38"/>
  <c r="AC24" i="39" l="1"/>
  <c r="AC27" i="39" s="1"/>
  <c r="AC39" i="39" s="1"/>
  <c r="AC41" i="39" s="1"/>
  <c r="AD40" i="39" l="1"/>
  <c r="AC6" i="38"/>
  <c r="AC11" i="38" l="1"/>
  <c r="AC20" i="38" s="1"/>
  <c r="AC43" i="38" s="1"/>
  <c r="AC46" i="39"/>
  <c r="AC48" i="39" s="1"/>
  <c r="AD21" i="36"/>
  <c r="AD23" i="36" s="1"/>
  <c r="AD24" i="36" l="1"/>
  <c r="AD25" i="36" s="1"/>
  <c r="AD27" i="36" l="1"/>
  <c r="AD6" i="39"/>
  <c r="AD38" i="38" l="1"/>
  <c r="AD41" i="38" s="1"/>
  <c r="AD22" i="39"/>
  <c r="AD55" i="39" s="1"/>
  <c r="AD148" i="36" s="1"/>
  <c r="AD33" i="36"/>
  <c r="AD146" i="36" s="1"/>
  <c r="AD32" i="36"/>
  <c r="AD42" i="38" l="1"/>
  <c r="AD62" i="38"/>
  <c r="AD12" i="38" l="1"/>
  <c r="AD7" i="38"/>
  <c r="AD17" i="38"/>
  <c r="AD26" i="39" s="1"/>
  <c r="AD24" i="39" l="1"/>
  <c r="AD27" i="39" s="1"/>
  <c r="AD39" i="39" s="1"/>
  <c r="AD41" i="39" s="1"/>
  <c r="AE40" i="39" l="1"/>
  <c r="AD6" i="38"/>
  <c r="AD11" i="38" s="1"/>
  <c r="AD20" i="38" s="1"/>
  <c r="AD43" i="38" s="1"/>
  <c r="AD46" i="39" l="1"/>
  <c r="AD48" i="39" s="1"/>
  <c r="AE21" i="36"/>
  <c r="AE23" i="36" s="1"/>
  <c r="AE24" i="36" s="1"/>
  <c r="AE25" i="36" s="1"/>
  <c r="AE27" i="36" s="1"/>
  <c r="AE6" i="39" l="1"/>
  <c r="AE38" i="38" s="1"/>
  <c r="AE41" i="38" s="1"/>
  <c r="AE42" i="38" s="1"/>
  <c r="AE33" i="36"/>
  <c r="AE146" i="36" s="1"/>
  <c r="AE32" i="36"/>
  <c r="AE22" i="39" l="1"/>
  <c r="AE55" i="39" s="1"/>
  <c r="AE148" i="36" s="1"/>
  <c r="AE62" i="38"/>
  <c r="AE12" i="38"/>
  <c r="AE7" i="38"/>
  <c r="AE17" i="38"/>
  <c r="AE24" i="39" l="1"/>
  <c r="AE26" i="39"/>
  <c r="AE27" i="39" l="1"/>
  <c r="AE39" i="39" s="1"/>
  <c r="AE41" i="39" s="1"/>
  <c r="AF40" i="39" s="1"/>
  <c r="AE6" i="38" l="1"/>
  <c r="AE46" i="39" s="1"/>
  <c r="AE48" i="39" s="1"/>
  <c r="AF21" i="36" l="1"/>
  <c r="AF23" i="36" s="1"/>
  <c r="AE11" i="38"/>
  <c r="AE20" i="38" s="1"/>
  <c r="AE43" i="38" s="1"/>
  <c r="AG21" i="36" l="1"/>
  <c r="AG23" i="36" s="1"/>
  <c r="AF24" i="36"/>
  <c r="AG24" i="36" s="1"/>
  <c r="AG143" i="36" l="1"/>
  <c r="AF25" i="36"/>
  <c r="AG25" i="36"/>
  <c r="AG27" i="36" s="1"/>
  <c r="AF27" i="36" l="1"/>
  <c r="AG31" i="36" s="1"/>
  <c r="AG33" i="36" s="1"/>
  <c r="AF6" i="39"/>
  <c r="AG6" i="39" s="1"/>
  <c r="AG22" i="39" s="1"/>
  <c r="AG55" i="39" s="1"/>
  <c r="AG148" i="36" s="1"/>
  <c r="AG146" i="36" l="1"/>
  <c r="AG36" i="36"/>
  <c r="AF22" i="39"/>
  <c r="AF38" i="38"/>
  <c r="AF32" i="36"/>
  <c r="AF33" i="36"/>
  <c r="AF146" i="36" s="1"/>
  <c r="AG30" i="36"/>
  <c r="AG32" i="36" s="1"/>
  <c r="AF55" i="39" l="1"/>
  <c r="AF148" i="36" s="1"/>
  <c r="AG38" i="38"/>
  <c r="AG41" i="38" s="1"/>
  <c r="AG42" i="38" s="1"/>
  <c r="AF41" i="38"/>
  <c r="AF42" i="38" l="1"/>
  <c r="AF62" i="38"/>
  <c r="AF12" i="38" l="1"/>
  <c r="AG12" i="38" s="1"/>
  <c r="AF7" i="38"/>
  <c r="AF17" i="38"/>
  <c r="AG17" i="38" l="1"/>
  <c r="AF26" i="39"/>
  <c r="AG26" i="39" s="1"/>
  <c r="AG7" i="38"/>
  <c r="AF24" i="39"/>
  <c r="AF27" i="39" l="1"/>
  <c r="AF39" i="39" s="1"/>
  <c r="AF41" i="39" s="1"/>
  <c r="AF6" i="38" s="1"/>
  <c r="AG24" i="39"/>
  <c r="AG27" i="39" s="1"/>
  <c r="AG39" i="39" s="1"/>
  <c r="AG41" i="39" s="1"/>
  <c r="AH21" i="36" l="1"/>
  <c r="AH23" i="36" s="1"/>
  <c r="AH24" i="36" s="1"/>
  <c r="AH25" i="36" s="1"/>
  <c r="AF46" i="39"/>
  <c r="AF48" i="39" s="1"/>
  <c r="AF11" i="38"/>
  <c r="AF20" i="38" s="1"/>
  <c r="AF43" i="38" s="1"/>
  <c r="AG6" i="38"/>
  <c r="AH40" i="39"/>
  <c r="AL40" i="39"/>
  <c r="AH27" i="36" l="1"/>
  <c r="AH33" i="36" s="1"/>
  <c r="AH146" i="36" s="1"/>
  <c r="AH6" i="39"/>
  <c r="AG11" i="38"/>
  <c r="AG20" i="38" s="1"/>
  <c r="AG43" i="38" s="1"/>
  <c r="AG46" i="39"/>
  <c r="AG48" i="39" s="1"/>
  <c r="AH32" i="36" l="1"/>
  <c r="AH22" i="39"/>
  <c r="AH55" i="39" s="1"/>
  <c r="AH148" i="36" s="1"/>
  <c r="AH38" i="38"/>
  <c r="AH41" i="38" s="1"/>
  <c r="AH62" i="38" l="1"/>
  <c r="AH42" i="38"/>
  <c r="AH17" i="38" l="1"/>
  <c r="AH26" i="39" s="1"/>
  <c r="AH7" i="38"/>
  <c r="AH12" i="38"/>
  <c r="AH24" i="39" l="1"/>
  <c r="AH27" i="39" s="1"/>
  <c r="AH39" i="39" s="1"/>
  <c r="AH41" i="39" s="1"/>
  <c r="AI40" i="39" l="1"/>
  <c r="AH6" i="38"/>
  <c r="AI21" i="36" l="1"/>
  <c r="AI23" i="36" s="1"/>
  <c r="AI24" i="36" s="1"/>
  <c r="AI25" i="36" s="1"/>
  <c r="AH11" i="38"/>
  <c r="AH20" i="38" s="1"/>
  <c r="AH43" i="38" s="1"/>
  <c r="AH46" i="39"/>
  <c r="AH48" i="39" s="1"/>
  <c r="AI27" i="36" l="1"/>
  <c r="AI6" i="39"/>
  <c r="AI22" i="39" l="1"/>
  <c r="AI55" i="39" s="1"/>
  <c r="AI148" i="36" s="1"/>
  <c r="AI38" i="38"/>
  <c r="AI41" i="38" s="1"/>
  <c r="AI33" i="36"/>
  <c r="AI146" i="36" s="1"/>
  <c r="AI32" i="36"/>
  <c r="AI42" i="38" l="1"/>
  <c r="AI62" i="38"/>
  <c r="AI12" i="38" l="1"/>
  <c r="AI7" i="38"/>
  <c r="AI17" i="38"/>
  <c r="AI26" i="39" s="1"/>
  <c r="AI24" i="39" l="1"/>
  <c r="AI27" i="39" s="1"/>
  <c r="AI39" i="39" s="1"/>
  <c r="AI41" i="39" s="1"/>
  <c r="AI6" i="38" l="1"/>
  <c r="AJ21" i="36" s="1"/>
  <c r="AJ23" i="36" s="1"/>
  <c r="AJ24" i="36" s="1"/>
  <c r="AJ25" i="36" s="1"/>
  <c r="AJ40" i="39"/>
  <c r="AI46" i="39" l="1"/>
  <c r="AI48" i="39" s="1"/>
  <c r="AI11" i="38"/>
  <c r="AI20" i="38" s="1"/>
  <c r="AI43" i="38" s="1"/>
  <c r="AJ27" i="36"/>
  <c r="AJ6" i="39"/>
  <c r="AJ22" i="39" l="1"/>
  <c r="AJ55" i="39" s="1"/>
  <c r="AJ148" i="36" s="1"/>
  <c r="AJ38" i="38"/>
  <c r="AJ41" i="38" s="1"/>
  <c r="AJ42" i="38" s="1"/>
  <c r="AJ33" i="36"/>
  <c r="AJ146" i="36" s="1"/>
  <c r="AJ32" i="36"/>
  <c r="AJ62" i="38" l="1"/>
  <c r="AJ7" i="38"/>
  <c r="AJ12" i="38"/>
  <c r="AJ17" i="38"/>
  <c r="AJ26" i="39" l="1"/>
  <c r="AJ24" i="39"/>
  <c r="AJ27" i="39" l="1"/>
  <c r="AJ39" i="39" s="1"/>
  <c r="AJ41" i="39" s="1"/>
  <c r="AJ6" i="38" s="1"/>
  <c r="AK40" i="39" l="1"/>
  <c r="AJ46" i="39"/>
  <c r="AJ48" i="39" s="1"/>
  <c r="AK21" i="36"/>
  <c r="AJ11" i="38"/>
  <c r="AJ20" i="38" s="1"/>
  <c r="AJ43" i="38" s="1"/>
  <c r="AK23" i="36" l="1"/>
  <c r="AL21" i="36"/>
  <c r="AL23" i="36" s="1"/>
  <c r="AK24" i="36" l="1"/>
  <c r="AL24" i="36" s="1"/>
  <c r="AL143" i="36" s="1"/>
  <c r="AK25" i="36" l="1"/>
  <c r="AK27" i="36" s="1"/>
  <c r="AL25" i="36"/>
  <c r="AL27" i="36" s="1"/>
  <c r="AK6" i="39" l="1"/>
  <c r="AL6" i="39" s="1"/>
  <c r="AL22" i="39" s="1"/>
  <c r="AL55" i="39" s="1"/>
  <c r="AL148" i="36" s="1"/>
  <c r="AL30" i="36"/>
  <c r="AL32" i="36" s="1"/>
  <c r="AL31" i="36"/>
  <c r="AL33" i="36" s="1"/>
  <c r="AK33" i="36"/>
  <c r="AK146" i="36" s="1"/>
  <c r="AK32" i="36"/>
  <c r="AK38" i="38" l="1"/>
  <c r="AL38" i="38" s="1"/>
  <c r="AL41" i="38" s="1"/>
  <c r="AL42" i="38" s="1"/>
  <c r="AK22" i="39"/>
  <c r="AK55" i="39" s="1"/>
  <c r="AK148" i="36" s="1"/>
  <c r="AL36" i="36"/>
  <c r="AL146" i="36"/>
  <c r="U28" i="36"/>
  <c r="U29" i="36" s="1"/>
  <c r="U34" i="36" s="1"/>
  <c r="U173" i="36"/>
  <c r="V173" i="36" s="1"/>
  <c r="AK41" i="38" l="1"/>
  <c r="AK42" i="38" s="1"/>
  <c r="V172" i="36"/>
  <c r="V28" i="36" s="1"/>
  <c r="V29" i="36" s="1"/>
  <c r="V34" i="36" s="1"/>
  <c r="X173" i="36"/>
  <c r="U147" i="36"/>
  <c r="AK62" i="38" l="1"/>
  <c r="V147" i="36"/>
  <c r="AK12" i="38"/>
  <c r="AL12" i="38" s="1"/>
  <c r="AK7" i="38"/>
  <c r="AK17" i="38"/>
  <c r="W28" i="36"/>
  <c r="W29" i="36" s="1"/>
  <c r="W34" i="36" s="1"/>
  <c r="W147" i="36" s="1"/>
  <c r="X172" i="36"/>
  <c r="X28" i="36" s="1"/>
  <c r="X29" i="36" s="1"/>
  <c r="X34" i="36" s="1"/>
  <c r="Y173" i="36"/>
  <c r="AK24" i="39" l="1"/>
  <c r="AL7" i="38"/>
  <c r="AK26" i="39"/>
  <c r="AL26" i="39" s="1"/>
  <c r="AL17" i="38"/>
  <c r="Z173" i="36"/>
  <c r="Y172" i="36"/>
  <c r="Y28" i="36" s="1"/>
  <c r="Y29" i="36" s="1"/>
  <c r="Y34" i="36" s="1"/>
  <c r="Y147" i="36" s="1"/>
  <c r="X147" i="36"/>
  <c r="AK27" i="39" l="1"/>
  <c r="AK39" i="39" s="1"/>
  <c r="AK41" i="39" s="1"/>
  <c r="AK6" i="38" s="1"/>
  <c r="AL24" i="39"/>
  <c r="AL27" i="39" s="1"/>
  <c r="AL39" i="39" s="1"/>
  <c r="AL41" i="39" s="1"/>
  <c r="AA173" i="36"/>
  <c r="Z172" i="36"/>
  <c r="Z28" i="36" s="1"/>
  <c r="AM40" i="39" l="1"/>
  <c r="AQ40" i="39"/>
  <c r="AK11" i="38"/>
  <c r="AK20" i="38" s="1"/>
  <c r="AK43" i="38" s="1"/>
  <c r="AL6" i="38"/>
  <c r="AM21" i="36"/>
  <c r="AK46" i="39"/>
  <c r="AK48" i="39" s="1"/>
  <c r="Z29" i="36"/>
  <c r="Z34" i="36" s="1"/>
  <c r="AA172" i="36"/>
  <c r="AA28" i="36" s="1"/>
  <c r="AA29" i="36" s="1"/>
  <c r="AA34" i="36" s="1"/>
  <c r="AC173" i="36"/>
  <c r="AA147" i="36" l="1"/>
  <c r="Z147" i="36"/>
  <c r="AM23" i="36"/>
  <c r="AM24" i="36" s="1"/>
  <c r="AM25" i="36" s="1"/>
  <c r="AL46" i="39"/>
  <c r="AL48" i="39" s="1"/>
  <c r="AL11" i="38"/>
  <c r="AL20" i="38" s="1"/>
  <c r="AL43" i="38" s="1"/>
  <c r="AD173" i="36"/>
  <c r="AC172" i="36"/>
  <c r="AC28" i="36" s="1"/>
  <c r="AC29" i="36" s="1"/>
  <c r="AC34" i="36" s="1"/>
  <c r="AB28" i="36"/>
  <c r="AB29" i="36" s="1"/>
  <c r="AB34" i="36" s="1"/>
  <c r="AC147" i="36" l="1"/>
  <c r="AB147" i="36"/>
  <c r="C9" i="40"/>
  <c r="AM27" i="36"/>
  <c r="AM32" i="36" s="1"/>
  <c r="AM6" i="39"/>
  <c r="AE173" i="36"/>
  <c r="AD172" i="36"/>
  <c r="AD28" i="36" s="1"/>
  <c r="AD29" i="36" s="1"/>
  <c r="AD34" i="36" s="1"/>
  <c r="AD147" i="36" l="1"/>
  <c r="AM33" i="36"/>
  <c r="AM146" i="36" s="1"/>
  <c r="AM22" i="39"/>
  <c r="AM55" i="39" s="1"/>
  <c r="AM148" i="36" s="1"/>
  <c r="AM38" i="38"/>
  <c r="AM41" i="38" s="1"/>
  <c r="AF173" i="36"/>
  <c r="AE172" i="36"/>
  <c r="AE28" i="36" s="1"/>
  <c r="AM62" i="38" l="1"/>
  <c r="AM42" i="38"/>
  <c r="AE29" i="36"/>
  <c r="AE34" i="36" s="1"/>
  <c r="AF172" i="36"/>
  <c r="AF28" i="36" s="1"/>
  <c r="AF29" i="36" s="1"/>
  <c r="AF34" i="36" s="1"/>
  <c r="AH173" i="36"/>
  <c r="AF147" i="36" l="1"/>
  <c r="AE147" i="36"/>
  <c r="AM7" i="38"/>
  <c r="AM12" i="38"/>
  <c r="AM17" i="38"/>
  <c r="AM26" i="39" s="1"/>
  <c r="AG28" i="36"/>
  <c r="AG29" i="36" s="1"/>
  <c r="AG34" i="36" s="1"/>
  <c r="AI173" i="36"/>
  <c r="AH172" i="36"/>
  <c r="AH28" i="36" s="1"/>
  <c r="AH29" i="36" s="1"/>
  <c r="AH34" i="36" s="1"/>
  <c r="AH147" i="36" l="1"/>
  <c r="AG147" i="36"/>
  <c r="AM24" i="39"/>
  <c r="AM27" i="39" s="1"/>
  <c r="AM39" i="39" s="1"/>
  <c r="AM41" i="39" s="1"/>
  <c r="AI172" i="36"/>
  <c r="AI28" i="36" s="1"/>
  <c r="AI29" i="36" s="1"/>
  <c r="AI34" i="36" s="1"/>
  <c r="AJ173" i="36"/>
  <c r="AI147" i="36" l="1"/>
  <c r="AN40" i="39"/>
  <c r="AM6" i="38"/>
  <c r="AJ172" i="36"/>
  <c r="AJ28" i="36" s="1"/>
  <c r="AK173" i="36"/>
  <c r="AM11" i="38" l="1"/>
  <c r="AM20" i="38" s="1"/>
  <c r="AM43" i="38" s="1"/>
  <c r="AN21" i="36"/>
  <c r="AN23" i="36" s="1"/>
  <c r="AN24" i="36" s="1"/>
  <c r="AN25" i="36" s="1"/>
  <c r="AM46" i="39"/>
  <c r="AM48" i="39" s="1"/>
  <c r="AM173" i="36"/>
  <c r="AK172" i="36"/>
  <c r="AK28" i="36" s="1"/>
  <c r="AK29" i="36" s="1"/>
  <c r="AK34" i="36" s="1"/>
  <c r="AJ29" i="36"/>
  <c r="AJ34" i="36" s="1"/>
  <c r="AK147" i="36" l="1"/>
  <c r="AJ147" i="36"/>
  <c r="AL28" i="36"/>
  <c r="AL29" i="36" s="1"/>
  <c r="AL34" i="36" s="1"/>
  <c r="AN27" i="36"/>
  <c r="AN6" i="39"/>
  <c r="AN173" i="36"/>
  <c r="AM172" i="36"/>
  <c r="AM28" i="36" s="1"/>
  <c r="AM29" i="36" s="1"/>
  <c r="AM34" i="36" s="1"/>
  <c r="AM147" i="36" l="1"/>
  <c r="AL149" i="36"/>
  <c r="AL59" i="39"/>
  <c r="AL61" i="39" s="1"/>
  <c r="AL147" i="36"/>
  <c r="AN22" i="39"/>
  <c r="AN55" i="39" s="1"/>
  <c r="AN148" i="36" s="1"/>
  <c r="AN38" i="38"/>
  <c r="AN41" i="38" s="1"/>
  <c r="AN33" i="36"/>
  <c r="AN146" i="36" s="1"/>
  <c r="AN32" i="36"/>
  <c r="AN172" i="36"/>
  <c r="AN28" i="36" s="1"/>
  <c r="AN29" i="36" s="1"/>
  <c r="AN34" i="36" s="1"/>
  <c r="AO173" i="36"/>
  <c r="AN147" i="36" l="1"/>
  <c r="AN42" i="38"/>
  <c r="AN62" i="38"/>
  <c r="AP173" i="36"/>
  <c r="AO172" i="36"/>
  <c r="AO28" i="36" s="1"/>
  <c r="AN7" i="38" l="1"/>
  <c r="AN12" i="38"/>
  <c r="AN17" i="38"/>
  <c r="AN26" i="39" s="1"/>
  <c r="AR173" i="36"/>
  <c r="AP172" i="36"/>
  <c r="AP28" i="36" s="1"/>
  <c r="AN24" i="39" l="1"/>
  <c r="AN27" i="39" s="1"/>
  <c r="AN39" i="39" s="1"/>
  <c r="AN41" i="39" s="1"/>
  <c r="AN6" i="38" s="1"/>
  <c r="AR172" i="36"/>
  <c r="AR28" i="36" s="1"/>
  <c r="AS173" i="36"/>
  <c r="AQ28" i="36"/>
  <c r="AO40" i="39" l="1"/>
  <c r="AN11" i="38"/>
  <c r="AN20" i="38" s="1"/>
  <c r="AN43" i="38" s="1"/>
  <c r="AO21" i="36"/>
  <c r="AN46" i="39"/>
  <c r="AN48" i="39" s="1"/>
  <c r="AT173" i="36"/>
  <c r="AS172" i="36"/>
  <c r="AS28" i="36" s="1"/>
  <c r="AO23" i="36" l="1"/>
  <c r="AO24" i="36" s="1"/>
  <c r="AO25" i="36" s="1"/>
  <c r="AT172" i="36"/>
  <c r="AT28" i="36" s="1"/>
  <c r="AU173" i="36"/>
  <c r="AU172" i="36" s="1"/>
  <c r="AU28" i="36" s="1"/>
  <c r="AO29" i="36" l="1"/>
  <c r="AO34" i="36" s="1"/>
  <c r="AO27" i="36"/>
  <c r="AO6" i="39"/>
  <c r="AV28" i="36"/>
  <c r="AO147" i="36" l="1"/>
  <c r="AO22" i="39"/>
  <c r="AO38" i="38"/>
  <c r="AO32" i="36"/>
  <c r="AO33" i="36"/>
  <c r="AO146" i="36" s="1"/>
  <c r="AO55" i="39" l="1"/>
  <c r="AO148" i="36" s="1"/>
  <c r="AO41" i="38"/>
  <c r="AO62" i="38" l="1"/>
  <c r="AO42" i="38"/>
  <c r="AO12" i="38" l="1"/>
  <c r="AO7" i="38"/>
  <c r="AO17" i="38"/>
  <c r="AO24" i="39" l="1"/>
  <c r="AO26" i="39"/>
  <c r="AO27" i="39" l="1"/>
  <c r="AO39" i="39" s="1"/>
  <c r="AO41" i="39" s="1"/>
  <c r="AP40" i="39" s="1"/>
  <c r="AO6" i="38" l="1"/>
  <c r="AP21" i="36" s="1"/>
  <c r="AO11" i="38" l="1"/>
  <c r="AO20" i="38" s="1"/>
  <c r="AO43" i="38" s="1"/>
  <c r="AO46" i="39"/>
  <c r="AO48" i="39" s="1"/>
  <c r="AP23" i="36"/>
  <c r="AQ21" i="36"/>
  <c r="AQ23" i="36" l="1"/>
  <c r="AP24" i="36"/>
  <c r="AP25" i="36" s="1"/>
  <c r="AP27" i="36" l="1"/>
  <c r="AP6" i="39"/>
  <c r="AQ6" i="39" s="1"/>
  <c r="AQ22" i="39" s="1"/>
  <c r="AQ55" i="39" s="1"/>
  <c r="AQ148" i="36" s="1"/>
  <c r="AQ24" i="36"/>
  <c r="AQ25" i="36" s="1"/>
  <c r="AQ27" i="36" s="1"/>
  <c r="AP29" i="36"/>
  <c r="AP34" i="36" s="1"/>
  <c r="AP147" i="36" l="1"/>
  <c r="AQ31" i="36"/>
  <c r="AQ33" i="36" s="1"/>
  <c r="AQ30" i="36"/>
  <c r="AQ32" i="36" s="1"/>
  <c r="AQ143" i="36"/>
  <c r="AQ29" i="36"/>
  <c r="AP22" i="39"/>
  <c r="AP38" i="38"/>
  <c r="AP33" i="36"/>
  <c r="AP146" i="36" s="1"/>
  <c r="AP32" i="36"/>
  <c r="AQ34" i="36" l="1"/>
  <c r="AQ38" i="38"/>
  <c r="AQ41" i="38" s="1"/>
  <c r="AQ42" i="38" s="1"/>
  <c r="AP41" i="38"/>
  <c r="AP55" i="39"/>
  <c r="AP148" i="36" s="1"/>
  <c r="AQ36" i="36"/>
  <c r="AQ146" i="36"/>
  <c r="AQ147" i="36" l="1"/>
  <c r="AP42" i="38"/>
  <c r="AP62" i="38"/>
  <c r="AP12" i="38" l="1"/>
  <c r="AQ12" i="38" s="1"/>
  <c r="AP7" i="38"/>
  <c r="AP17" i="38"/>
  <c r="AP24" i="39" l="1"/>
  <c r="AQ7" i="38"/>
  <c r="AQ17" i="38"/>
  <c r="AP26" i="39"/>
  <c r="AQ26" i="39" s="1"/>
  <c r="AP27" i="39" l="1"/>
  <c r="AP39" i="39" s="1"/>
  <c r="AP41" i="39" s="1"/>
  <c r="AP6" i="38" s="1"/>
  <c r="AQ24" i="39"/>
  <c r="AQ27" i="39" s="1"/>
  <c r="AQ39" i="39" s="1"/>
  <c r="AQ41" i="39" s="1"/>
  <c r="AV40" i="39" l="1"/>
  <c r="AR40" i="39"/>
  <c r="AP46" i="39"/>
  <c r="AP48" i="39" s="1"/>
  <c r="AQ6" i="38"/>
  <c r="AR21" i="36"/>
  <c r="AP11" i="38"/>
  <c r="AP20" i="38" s="1"/>
  <c r="AP43" i="38" s="1"/>
  <c r="AQ11" i="38" l="1"/>
  <c r="AQ20" i="38" s="1"/>
  <c r="AQ43" i="38" s="1"/>
  <c r="AQ46" i="39"/>
  <c r="AQ48" i="39" s="1"/>
  <c r="AR23" i="36"/>
  <c r="AR24" i="36" s="1"/>
  <c r="AR25" i="36" s="1"/>
  <c r="AR27" i="36" l="1"/>
  <c r="AR32" i="36" s="1"/>
  <c r="AR6" i="39"/>
  <c r="AR29" i="36"/>
  <c r="AR34" i="36" s="1"/>
  <c r="AR147" i="36" l="1"/>
  <c r="AR33" i="36"/>
  <c r="AR146" i="36" s="1"/>
  <c r="AR22" i="39"/>
  <c r="AR55" i="39" s="1"/>
  <c r="AR148" i="36" s="1"/>
  <c r="AR38" i="38"/>
  <c r="AR41" i="38" s="1"/>
  <c r="AR62" i="38" l="1"/>
  <c r="AR42" i="38"/>
  <c r="AR17" i="38" l="1"/>
  <c r="AR26" i="39" s="1"/>
  <c r="AR7" i="38"/>
  <c r="AR12" i="38"/>
  <c r="AR24" i="39" l="1"/>
  <c r="AR27" i="39" s="1"/>
  <c r="AR39" i="39" s="1"/>
  <c r="AR41" i="39" s="1"/>
  <c r="AR6" i="38" l="1"/>
  <c r="AS40" i="39"/>
  <c r="AR46" i="39" l="1"/>
  <c r="AR48" i="39" s="1"/>
  <c r="AR11" i="38"/>
  <c r="AR20" i="38" s="1"/>
  <c r="AR43" i="38" s="1"/>
  <c r="AS21" i="36"/>
  <c r="AS23" i="36" l="1"/>
  <c r="AS24" i="36" s="1"/>
  <c r="AS25" i="36" s="1"/>
  <c r="AS29" i="36" l="1"/>
  <c r="AS34" i="36" s="1"/>
  <c r="AS27" i="36"/>
  <c r="AS6" i="39"/>
  <c r="AS147" i="36" l="1"/>
  <c r="AS38" i="38"/>
  <c r="AS41" i="38" s="1"/>
  <c r="AS22" i="39"/>
  <c r="AS55" i="39" s="1"/>
  <c r="AS148" i="36" s="1"/>
  <c r="AS33" i="36"/>
  <c r="AS146" i="36" s="1"/>
  <c r="AS32" i="36"/>
  <c r="AS62" i="38" l="1"/>
  <c r="AS42" i="38"/>
  <c r="AS17" i="38" l="1"/>
  <c r="AS26" i="39" s="1"/>
  <c r="AS7" i="38"/>
  <c r="AS12" i="38"/>
  <c r="AS24" i="39" l="1"/>
  <c r="AS27" i="39" s="1"/>
  <c r="AS39" i="39" s="1"/>
  <c r="AS41" i="39" s="1"/>
  <c r="AT40" i="39" l="1"/>
  <c r="AS6" i="38"/>
  <c r="AT21" i="36" l="1"/>
  <c r="AS11" i="38"/>
  <c r="AS20" i="38" s="1"/>
  <c r="AS43" i="38" s="1"/>
  <c r="AS46" i="39"/>
  <c r="AS48" i="39" s="1"/>
  <c r="AT23" i="36" l="1"/>
  <c r="AT24" i="36" l="1"/>
  <c r="AT29" i="36" s="1"/>
  <c r="AT34" i="36" s="1"/>
  <c r="AT147" i="36" l="1"/>
  <c r="AT25" i="36"/>
  <c r="AT27" i="36" s="1"/>
  <c r="AT6" i="39" l="1"/>
  <c r="AT22" i="39" s="1"/>
  <c r="AT55" i="39" s="1"/>
  <c r="AT148" i="36" s="1"/>
  <c r="AT32" i="36"/>
  <c r="AT33" i="36"/>
  <c r="AT146" i="36" s="1"/>
  <c r="AT38" i="38" l="1"/>
  <c r="AT41" i="38" s="1"/>
  <c r="AT62" i="38" s="1"/>
  <c r="AT42" i="38" l="1"/>
  <c r="AT7" i="38" s="1"/>
  <c r="AT12" i="38" l="1"/>
  <c r="AT24" i="39" s="1"/>
  <c r="AT17" i="38"/>
  <c r="AT26" i="39" s="1"/>
  <c r="AT27" i="39" l="1"/>
  <c r="AT39" i="39" s="1"/>
  <c r="AT41" i="39" s="1"/>
  <c r="AT6" i="38" s="1"/>
  <c r="AU40" i="39" l="1"/>
  <c r="AT46" i="39"/>
  <c r="AT48" i="39" s="1"/>
  <c r="AU21" i="36"/>
  <c r="AT11" i="38"/>
  <c r="AT20" i="38" s="1"/>
  <c r="AT43" i="38" s="1"/>
  <c r="AV21" i="36" l="1"/>
  <c r="AV23" i="36" s="1"/>
  <c r="AU23" i="36"/>
  <c r="AU24" i="36" l="1"/>
  <c r="AU25" i="36" s="1"/>
  <c r="AU27" i="36" l="1"/>
  <c r="AU6" i="39"/>
  <c r="AV6" i="39" s="1"/>
  <c r="AV22" i="39" s="1"/>
  <c r="AV55" i="39" s="1"/>
  <c r="AV148" i="36" s="1"/>
  <c r="AV24" i="36"/>
  <c r="AU29" i="36"/>
  <c r="AU34" i="36" s="1"/>
  <c r="AU147" i="36" l="1"/>
  <c r="AV29" i="36"/>
  <c r="AV143" i="36"/>
  <c r="AV25" i="36"/>
  <c r="AV27" i="36" s="1"/>
  <c r="AU22" i="39"/>
  <c r="AU55" i="39" s="1"/>
  <c r="AU148" i="36" s="1"/>
  <c r="AU38" i="38"/>
  <c r="AU33" i="36"/>
  <c r="AU146" i="36" s="1"/>
  <c r="AU32" i="36"/>
  <c r="AV38" i="38" l="1"/>
  <c r="AV41" i="38" s="1"/>
  <c r="AV42" i="38" s="1"/>
  <c r="AU41" i="38"/>
  <c r="AV31" i="36"/>
  <c r="AV33" i="36" s="1"/>
  <c r="AV30" i="36"/>
  <c r="AV32" i="36" s="1"/>
  <c r="AV34" i="36" l="1"/>
  <c r="AV146" i="36"/>
  <c r="AV36" i="36"/>
  <c r="AU42" i="38"/>
  <c r="AU62" i="38"/>
  <c r="AV147" i="36" l="1"/>
  <c r="AU12" i="38"/>
  <c r="AV12" i="38" s="1"/>
  <c r="AU7" i="38"/>
  <c r="AU17" i="38"/>
  <c r="AU24" i="39" l="1"/>
  <c r="AV7" i="38"/>
  <c r="AU26" i="39"/>
  <c r="AV26" i="39" s="1"/>
  <c r="AV17" i="38"/>
  <c r="AU27" i="39" l="1"/>
  <c r="AU39" i="39" s="1"/>
  <c r="AU41" i="39" s="1"/>
  <c r="AU6" i="38" s="1"/>
  <c r="AV24" i="39"/>
  <c r="AV27" i="39" s="1"/>
  <c r="AV39" i="39" s="1"/>
  <c r="AV41" i="39" s="1"/>
  <c r="AU11" i="38" l="1"/>
  <c r="AU20" i="38" s="1"/>
  <c r="AU43" i="38" s="1"/>
  <c r="AU46" i="39"/>
  <c r="AU48" i="39" s="1"/>
  <c r="AV6" i="38"/>
  <c r="AV11" i="38" l="1"/>
  <c r="AV20" i="38" s="1"/>
  <c r="AV43" i="38" s="1"/>
  <c r="AV46" i="39"/>
  <c r="AV48"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FC4173FE-3CB6-4A20-9DD5-53F8529DE92D}">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DA0F198E-4BE8-4B90-B0D2-097503E23726}">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5CE4FDFF-0836-4E2B-AF7C-2D8AA0FE8CE7}">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4DD90310-88BF-4CF7-922C-FE5BBB3A71B1}">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FD9E95BF-B6DE-4039-A1F4-0091DE5B9BF0}">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AB99DEB7-E9C8-4606-9AB7-0AD19AEA6332}">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9791231D-845A-449D-8BE8-93E54C344658}">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9C244ACF-BB1B-4BAF-BFC6-0D5355F220F2}">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5C883CCE-6819-4DFB-8DFE-2675FBFC4DE8}">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EBC2D1C8-EB76-4A09-A165-00575EE794BE}">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7959FD05-22DC-4B26-9949-9D693F49A31F}">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18046147-CACD-4B42-B42A-5E4E456F3072}">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2D466054-3497-4B9F-A654-7C408E9390A6}">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425CBD2F-7389-4EB1-9067-BF5E17987AF5}">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6238CEC7-BEF8-4673-9056-CB25FDE62DAB}">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3C474D17-A5C2-4808-87EF-7885E0783CF1}">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D7336DF9-F522-4546-B771-FBE7AD16F236}">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84152034-FA18-4F06-A203-A74731492ECE}">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B521454C-8602-4F5A-872C-3C7D5EE45817}">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5208089E-7D93-4545-A81B-9729E91254D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DDD88715-BBCF-4D4F-AF4B-4878A9FC9C8D}">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3C9A7756-3B4B-4679-A466-9A78FF6CC450}">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155B7C85-03A1-4BB0-B0C7-B9865A702162}">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6DD9557C-53CB-49F6-9B0C-3A4F05ED8FDB}">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45B28F27-923E-43CE-8BD8-4C992C8D3AFA}">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57CB2C40-033B-4B95-BB90-AC1EE291FE7F}">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6C94CC9A-FA60-46D4-9AFB-1F0B116D0935}">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AFF09461-63F4-4A41-95CD-DB8925B1A458}">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C2C387A3-4923-47BC-899D-F580A405E86E}">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6DEEA8A7-C930-4027-8E79-9DC28E7C1B83}">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AC427072-5199-4EC0-A9D2-61D9953B8278}">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C6A28E9A-2BF6-4CC7-86FF-A80B318C215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ADF09FB6-08B0-402A-BBDB-236793D54F89}">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154595BD-4431-4AB9-A14D-8C6D49818259}">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A566C189-957D-4C02-9263-C339BF84988E}">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D42E38DE-FBCA-4959-977A-C9F9B71A8973}">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4E840D5A-09F0-46EF-807F-8C571E18F7D3}">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45EFC18F-0508-423F-BE1F-4E8F984485EB}">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V34" authorId="0" shapeId="0" xr:uid="{88D94265-4CEC-48F0-806D-78A00D85B6B8}">
      <text>
        <r>
          <rPr>
            <b/>
            <sz val="9"/>
            <color indexed="81"/>
            <rFont val="Tahoma"/>
            <family val="2"/>
          </rPr>
          <t xml:space="preserve">Guidance: </t>
        </r>
        <r>
          <rPr>
            <sz val="9"/>
            <color indexed="81"/>
            <rFont val="Tahoma"/>
            <family val="2"/>
          </rPr>
          <t xml:space="preserve">"We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
</t>
        </r>
        <r>
          <rPr>
            <b/>
            <sz val="9"/>
            <color indexed="81"/>
            <rFont val="Tahoma"/>
            <family val="2"/>
          </rPr>
          <t xml:space="preserve">Source: </t>
        </r>
        <r>
          <rPr>
            <sz val="9"/>
            <color indexed="81"/>
            <rFont val="Tahoma"/>
            <family val="2"/>
          </rPr>
          <t>Investor Day 9/16/2022</t>
        </r>
      </text>
    </comment>
    <comment ref="AL34" authorId="0" shapeId="0" xr:uid="{95E7B580-42FA-414E-880C-C4CC1F0DE87D}">
      <text>
        <r>
          <rPr>
            <b/>
            <sz val="9"/>
            <color indexed="81"/>
            <rFont val="Tahoma"/>
            <family val="2"/>
          </rPr>
          <t>Guidance:</t>
        </r>
        <r>
          <rPr>
            <sz val="9"/>
            <color indexed="81"/>
            <rFont val="Tahoma"/>
            <family val="2"/>
          </rPr>
          <t xml:space="preserve"> Management guided annual EPS growth between 15% to 20%. 
</t>
        </r>
        <r>
          <rPr>
            <b/>
            <sz val="9"/>
            <color indexed="81"/>
            <rFont val="Tahoma"/>
            <family val="2"/>
          </rPr>
          <t xml:space="preserve">Source: Investor Day 9/16/2022
</t>
        </r>
        <r>
          <rPr>
            <sz val="9"/>
            <color indexed="81"/>
            <rFont val="Tahoma"/>
            <family val="2"/>
          </rPr>
          <t xml:space="preserve">
Assuming 2022 EPS of $2.88 CAGR of 15% to 20% equates to a 2025 EPS range of $4.38 to $4.98.
</t>
        </r>
      </text>
    </comment>
    <comment ref="L35" authorId="1" shapeId="0" xr:uid="{BF7BC5B1-9019-4DAC-827A-892DE5EDCF6A}">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L36" authorId="0" shapeId="0" xr:uid="{EA15FABF-76D6-4FDD-9735-95A64A96F41C}">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B40" authorId="0" shapeId="0" xr:uid="{5BE65310-F8BE-4C56-87AB-4E863B6DAE2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0E2733A7-7C6D-4455-B03F-28D4D900AC98}">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D231A052-7CF8-4DE9-86A4-FCBD44C82C4C}">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BED616A1-E448-4D42-9B2A-7AE9504C6031}">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BA14AE02-3979-4508-9925-DCAA5ADA4390}">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511D3A20-BCAD-4D38-BCCB-C4D27247F74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04F1E402-EF0E-42C9-B684-EF0289A8FAC3}">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5CA4B7B0-EB99-4281-B99C-176567519924}">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DF28B33A-AD36-422F-ACAF-18B236AEBEDE}">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F839E160-003B-4D5B-B8E8-89BC34623438}">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73C91A52-9169-44FE-897B-2AEDBCB63342}">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2DE70375-7909-4A0F-8388-F300F05FA5C9}">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D205546F-D29C-465F-A05B-5A174E3E364B}">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DE3BDDF8-7560-4B19-9994-3E973CC32463}">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BD5DA2D8-5672-4693-B276-0C646153377D}">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2987A97C-7544-45CD-B21C-9BD9FB0F1891}">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620781FB-AEC9-4FBD-A68B-8F4D077D028C}">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A66FC5B3-09B0-4B24-B46F-795ECF80F7FC}">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E4DB7D9F-BD95-4ED9-B85B-9FC0C6574E9D}">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7BBCDE31-DD94-4426-81DB-EAA997C2352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01704175-429A-47F5-B9BA-A1C252EFCFFF}">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E8785240-1783-48B0-A92E-E0BF58DA2EFD}">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10804E00-FA9D-47CA-A879-C2CC4F179012}">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3D9B9803-EB71-4401-8DA2-06B1A1A74425}">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1AD2A546-8CBF-4261-B339-04437C6B3ADA}">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75D13763-67BC-405E-88D7-39D104C3D076}">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35EBC08A-45B1-47F1-B1A5-43E8784B65EB}">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68AF3152-DF11-41B8-937F-AE6A09DAE465}">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4D60D761-7357-41A7-B2A9-236327C20B93}">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949A6226-E323-48C3-A679-FF53F688AC93}">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2480D8FB-83DD-4FDE-B322-410E9B404F6C}">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66B089D0-BE52-4E27-8B26-C38A6003A96D}">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8A6C5BE3-47A2-4474-804D-8CD5CF704B2D}">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7A205AD4-56A7-40D5-8915-EFC9B4DEF5B0}">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EDD0E7A8-F13E-4A34-A4FF-73D72D954C92}">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92D456D5-110A-4474-ABE1-ADC7BD423C71}">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5312E305-9894-4F77-A73B-CA142549DE86}">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754A029F-AFF1-43CD-BEEF-9ACC30A9C38A}">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7EB92423-D38D-4B20-9CB4-DD33C65EDED5}">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AL139" authorId="0" shapeId="0" xr:uid="{38AF7ECF-73F5-4CEE-A51E-65DD1897EFA4}">
      <text>
        <r>
          <rPr>
            <sz val="9"/>
            <color indexed="81"/>
            <rFont val="Tahoma"/>
            <family val="2"/>
          </rPr>
          <t>Guidance: Global store growth of 7% annually approaching 45,000 stores by the end of 2025 (from fiscal 2023 to 2025). 
Source: Investor Day 9/16/2022</t>
        </r>
      </text>
    </comment>
    <comment ref="H140" authorId="1" shapeId="0" xr:uid="{0B8C9A3B-A74E-488F-88B1-B7E6A2C0D3A2}">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DB6D06B5-14FC-48CA-BC3C-5CDCBBE416DD}">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L140" authorId="0" shapeId="0" xr:uid="{E3CFE25C-D719-4C44-BEEF-0222A636C74C}">
      <text>
        <r>
          <rPr>
            <sz val="9"/>
            <color indexed="81"/>
            <rFont val="Tahoma"/>
            <family val="2"/>
          </rPr>
          <t>Guidance: Global revenue growth of 10% to 12% annually (from fiscal 2023 to 2025).
Source: Investor Day 9/16/2022</t>
        </r>
      </text>
    </comment>
    <comment ref="R141" authorId="0" shapeId="0" xr:uid="{E5BB554B-B60C-438B-81D3-0D3F27F34080}">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FE027E3D-84B0-4F3D-BE91-D8C5EB06162A}">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V142" authorId="0" shapeId="0" xr:uid="{923FAB52-C0F0-47EB-9A7A-DCB4012DD777}">
      <text>
        <r>
          <rPr>
            <b/>
            <sz val="9"/>
            <color indexed="81"/>
            <rFont val="Tahoma"/>
            <family val="2"/>
          </rPr>
          <t xml:space="preserve">Guidance: </t>
        </r>
        <r>
          <rPr>
            <sz val="9"/>
            <color indexed="81"/>
            <rFont val="Tahoma"/>
            <family val="2"/>
          </rPr>
          <t>"We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t>
        </r>
        <r>
          <rPr>
            <b/>
            <sz val="9"/>
            <color indexed="81"/>
            <rFont val="Tahoma"/>
            <family val="2"/>
          </rPr>
          <t xml:space="preserve">
Source: Investor Day 9/16/2022
</t>
        </r>
      </text>
    </comment>
    <comment ref="AL142" authorId="0" shapeId="0" xr:uid="{89C2ED25-894B-4690-A295-B6A221AF2AA5}">
      <text>
        <r>
          <rPr>
            <sz val="9"/>
            <color indexed="81"/>
            <rFont val="Tahoma"/>
            <family val="2"/>
          </rPr>
          <t>Guidance: Expect “Solid” margin expansion in fiscal 2023 with “progressively more expansion” in fiscal 2024 and 2025.
Source: Investor Day 9/16/2022</t>
        </r>
      </text>
    </comment>
    <comment ref="H143" authorId="1" shapeId="0" xr:uid="{B1087744-88E4-46CF-A5A4-CA94C83BEDF8}">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9978783A-8063-4704-BDE0-68854B5A7921}">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E85CBCB5-5BE2-4EBC-91A1-7EDAFF3FF39C}">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X143" authorId="0" shapeId="0" xr:uid="{9961977C-6449-455B-A15F-A2FF81D7133F}">
      <text>
        <r>
          <rPr>
            <sz val="9"/>
            <color indexed="81"/>
            <rFont val="Tahoma"/>
            <family val="2"/>
          </rPr>
          <t>"We expect our non-GAAP effective tax rate to be between 24% and 25%. This range translates to an EPS headwind of roughly 4% year-on-year and is meaningfully higher than the non-GAAP tax rate of 21.3% in fiscal 2021 which benefited from certain discrete tax benefits that are not expected to repeat to the same degree in fiscal 2022."</t>
        </r>
        <r>
          <rPr>
            <b/>
            <sz val="9"/>
            <color indexed="81"/>
            <rFont val="Tahoma"/>
            <family val="2"/>
          </rPr>
          <t xml:space="preserve">
Source: </t>
        </r>
        <r>
          <rPr>
            <sz val="9"/>
            <color indexed="81"/>
            <rFont val="Tahoma"/>
            <family val="2"/>
          </rPr>
          <t>F4Q2021 earnings call</t>
        </r>
      </text>
    </comment>
    <comment ref="AL149" authorId="0" shapeId="0" xr:uid="{04EC1BD3-A98B-47BE-8451-C19089C5599D}">
      <text>
        <r>
          <rPr>
            <sz val="9"/>
            <color indexed="81"/>
            <rFont val="Tahoma"/>
            <family val="2"/>
          </rPr>
          <t>Guidance: Management guided annual EPS growth between 15% to 20%. 
Source: Investor Day 9/16/2022
Assuming 2022 EPS of $2.88 CAGR of 15% to 20% equates to a 2025 EPS range of $4.38 to $4.98.</t>
        </r>
      </text>
    </comment>
    <comment ref="B150" authorId="1" shapeId="0" xr:uid="{DEC99592-60F8-4237-A3AF-C12FFFDD676D}">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AC153" authorId="0" shapeId="0" xr:uid="{C0034326-28DC-4FA1-A744-B3C89ACA7EB8}">
      <text>
        <r>
          <rPr>
            <sz val="9"/>
            <color indexed="81"/>
            <rFont val="Tahoma"/>
            <family val="2"/>
          </rPr>
          <t>Management is assuming a 2% dividend yield in their forecast.</t>
        </r>
      </text>
    </comment>
    <comment ref="AH153" authorId="0" shapeId="0" xr:uid="{04C1254B-799E-4165-9056-55915B235709}">
      <text>
        <r>
          <rPr>
            <sz val="9"/>
            <color indexed="81"/>
            <rFont val="Tahoma"/>
            <family val="2"/>
          </rPr>
          <t>Management is assuming a 2% dividend yield in their forecast.</t>
        </r>
      </text>
    </comment>
    <comment ref="B165" authorId="1" shapeId="0" xr:uid="{69FDD77B-4BBD-4E6D-BFDB-AA8A8FEF59B2}">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0A7519ED-36AE-486E-9ACE-D0FCBECA0496}">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8507D281-FAA7-4AF9-A8E8-6AF1772B2BCE}">
      <text>
        <r>
          <rPr>
            <b/>
            <sz val="9"/>
            <color indexed="81"/>
            <rFont val="Tahoma"/>
            <family val="2"/>
          </rPr>
          <t>Enter negative EPS income tax effect as positive on this line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C3D1887E-4FA1-4984-B7BC-3E240900F093}">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8A6C0302-CA1E-4A3E-B9F0-1DBFC037AFB4}">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AG64" authorId="1" shapeId="0" xr:uid="{073F3B4C-ADA1-45D4-9A54-A7B92DA06361}">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4" authorId="1" shapeId="0" xr:uid="{B40707D4-66E9-4B60-8B84-388AD85DCF2F}">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466FBD72-28A3-4C3B-B752-78AE8F849F7F}">
      <text>
        <r>
          <rPr>
            <b/>
            <sz val="9"/>
            <color indexed="81"/>
            <rFont val="Tahoma"/>
            <family val="2"/>
          </rPr>
          <t>Note: Use the company's 10-K not SEC web data</t>
        </r>
      </text>
    </comment>
    <comment ref="B17" authorId="0" shapeId="0" xr:uid="{A110C775-40D5-4FD1-850D-2C4864DE944C}">
      <text>
        <r>
          <rPr>
            <b/>
            <sz val="9"/>
            <color indexed="81"/>
            <rFont val="Tahoma"/>
            <family val="2"/>
          </rPr>
          <t>Change sign</t>
        </r>
      </text>
    </comment>
    <comment ref="B21" authorId="0" shapeId="0" xr:uid="{5CF40A0E-3F24-4569-9F79-D58B8225F93A}">
      <text>
        <r>
          <rPr>
            <b/>
            <sz val="9"/>
            <color indexed="81"/>
            <rFont val="Tahoma"/>
            <family val="2"/>
          </rPr>
          <t>Change sign</t>
        </r>
      </text>
    </comment>
    <comment ref="H25" authorId="0" shapeId="0" xr:uid="{8A347FC7-DFFE-495B-AFD4-CD2DC1F7678A}">
      <text>
        <r>
          <rPr>
            <b/>
            <sz val="9"/>
            <color indexed="81"/>
            <rFont val="Tahoma"/>
            <family val="2"/>
          </rPr>
          <t xml:space="preserve">3Q2019 Earnings call (7/25/2019) guidance for FY2019:
</t>
        </r>
        <r>
          <rPr>
            <sz val="9"/>
            <color indexed="81"/>
            <rFont val="Tahoma"/>
            <family val="2"/>
          </rPr>
          <t>Capex ~ $2B</t>
        </r>
      </text>
    </comment>
    <comment ref="M25" authorId="0" shapeId="0" xr:uid="{8EC71DFD-D913-4240-A092-D1F9E4F86775}">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865DAAC5-F29D-4B30-A74B-78572192BBA0}">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AB25" authorId="1" shapeId="0" xr:uid="{62805CDB-0BAA-4F78-8E0A-87FEBFA32A31}">
      <text>
        <r>
          <rPr>
            <sz val="9"/>
            <color indexed="81"/>
            <rFont val="Tahoma"/>
            <family val="2"/>
          </rPr>
          <t>Guidance: Capital expenditures of $2.5B to $3.0B annually (fiscal 2023, 2024, and 2025).
Source: Investor Day 9/16/2022</t>
        </r>
      </text>
    </comment>
    <comment ref="AG25" authorId="1" shapeId="0" xr:uid="{2F86057A-4F1F-4A7A-98D1-D3515F51286C}">
      <text>
        <r>
          <rPr>
            <sz val="9"/>
            <color indexed="81"/>
            <rFont val="Tahoma"/>
            <family val="2"/>
          </rPr>
          <t>Guidance: Capital expenditures of $2.5B to $3.0B annually (fiscal 2023, 2024, and 2025).
Source: Investor Day 9/16/2022</t>
        </r>
      </text>
    </comment>
    <comment ref="AL25" authorId="1" shapeId="0" xr:uid="{398BF0E4-FC08-4161-9CA2-51533648312E}">
      <text>
        <r>
          <rPr>
            <sz val="9"/>
            <color indexed="81"/>
            <rFont val="Tahoma"/>
            <family val="2"/>
          </rPr>
          <t>Guidance: Capital expenditures of $2.5B to $3.0B annually (fiscal 2023, 2024, and 2025).
Source: Investor Day 9/16/2022</t>
        </r>
      </text>
    </comment>
    <comment ref="B29" authorId="0" shapeId="0" xr:uid="{3733CC76-26CB-42F0-BF94-0A2E3347C02F}">
      <text>
        <r>
          <rPr>
            <b/>
            <sz val="9"/>
            <color indexed="81"/>
            <rFont val="Tahoma"/>
            <family val="2"/>
          </rPr>
          <t>Change sign for payments of debt</t>
        </r>
      </text>
    </comment>
    <comment ref="B42" authorId="0" shapeId="0" xr:uid="{5DD02FCE-6538-4E37-9BE7-C31C9663FAB4}">
      <text>
        <r>
          <rPr>
            <sz val="9"/>
            <color indexed="81"/>
            <rFont val="Tahoma"/>
            <family val="2"/>
          </rPr>
          <t>Cash Flow from Operations - Capital Expenditures + After tax Interest Expense</t>
        </r>
      </text>
    </comment>
    <comment ref="AL58" authorId="1" shapeId="0" xr:uid="{3D4CBC2B-8B28-4D77-842C-55DE3EDFD469}">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1" authorId="1" shapeId="0" xr:uid="{D0BBFDF1-0302-4C5E-99AA-96E01126727A}">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2" authorId="1" shapeId="0" xr:uid="{B60FB9F3-AD9F-4F87-AD15-2CDB32A7720A}">
      <text>
        <r>
          <rPr>
            <b/>
            <sz val="9"/>
            <color indexed="81"/>
            <rFont val="Tahoma"/>
            <family val="2"/>
          </rPr>
          <t xml:space="preserve">Guidance: </t>
        </r>
        <r>
          <rPr>
            <sz val="9"/>
            <color indexed="81"/>
            <rFont val="Tahoma"/>
            <family val="2"/>
          </rPr>
          <t xml:space="preserve">Management guided annual EPS growth between 15% to 20%. </t>
        </r>
        <r>
          <rPr>
            <b/>
            <sz val="9"/>
            <color indexed="81"/>
            <rFont val="Tahoma"/>
            <family val="2"/>
          </rPr>
          <t xml:space="preserve">
Source: Investor Day 9/16/2022
</t>
        </r>
        <r>
          <rPr>
            <sz val="9"/>
            <color indexed="81"/>
            <rFont val="Tahoma"/>
            <family val="2"/>
          </rPr>
          <t>Assuming 2022 EPS of $2.88 CAGR of 15% to 20% equates to a 2025 EPS range of $4.38 to $4.98.</t>
        </r>
        <r>
          <rPr>
            <b/>
            <sz val="9"/>
            <color indexed="81"/>
            <rFont val="Tahoma"/>
            <family val="2"/>
          </rPr>
          <t xml:space="preserve">
</t>
        </r>
      </text>
    </comment>
  </commentList>
</comments>
</file>

<file path=xl/sharedStrings.xml><?xml version="1.0" encoding="utf-8"?>
<sst xmlns="http://schemas.openxmlformats.org/spreadsheetml/2006/main" count="1260" uniqueCount="347">
  <si>
    <t>Basic shares outstanding</t>
  </si>
  <si>
    <t xml:space="preserve">Diluted shares outstanding </t>
  </si>
  <si>
    <t>Effective tax rate</t>
  </si>
  <si>
    <t>(Dollars in millions, except per share data)</t>
  </si>
  <si>
    <t>Operating margin (GAAP)</t>
  </si>
  <si>
    <t>Provisions for income tax</t>
  </si>
  <si>
    <t xml:space="preserve">Basic EPS </t>
  </si>
  <si>
    <t xml:space="preserve">Diluted EPS </t>
  </si>
  <si>
    <t>Total operating expenses</t>
  </si>
  <si>
    <t>Ratio Analysis</t>
  </si>
  <si>
    <t>Total operating income/(loss)</t>
  </si>
  <si>
    <t>Income/(loss) before income tax</t>
  </si>
  <si>
    <t>Non-GAAP Adjustments</t>
  </si>
  <si>
    <t>Segment Data</t>
  </si>
  <si>
    <t>Reconciliation</t>
  </si>
  <si>
    <t>Dec-18</t>
  </si>
  <si>
    <t xml:space="preserve">   Net income attributable to common shareholders</t>
  </si>
  <si>
    <t>Revenue growth rate (GAAP, YoY)</t>
  </si>
  <si>
    <t>Starbucks Income Statement</t>
  </si>
  <si>
    <t>F1Q19</t>
  </si>
  <si>
    <t>Sept-22E</t>
  </si>
  <si>
    <t>Dec-22E</t>
  </si>
  <si>
    <t>Mar-23E</t>
  </si>
  <si>
    <t>June-23E</t>
  </si>
  <si>
    <t>Sept-23E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</si>
  <si>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</si>
  <si>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</si>
  <si>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</si>
  <si>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</si>
  <si>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</si>
  <si>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</si>
  <si>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</si>
  <si>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</si>
  <si>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</si>
  <si>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</si>
  <si>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</si>
  <si>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</si>
  <si>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</si>
  <si>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</si>
  <si>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</si>
  <si>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</si>
  <si>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</si>
  <si>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Restructuring and impairments</t>
  </si>
  <si>
    <t>Comp store sales - Ticket</t>
  </si>
  <si>
    <t>Comp store sales - Transaction</t>
  </si>
  <si>
    <t>Comp store sales - Total</t>
  </si>
  <si>
    <t xml:space="preserve">Net new company operated stores added </t>
  </si>
  <si>
    <t xml:space="preserve">Net new licensed  stores added </t>
  </si>
  <si>
    <t>Average revenue per licensed store</t>
  </si>
  <si>
    <t>Average licensed stores in the period</t>
  </si>
  <si>
    <t>Other revenue YoY growth rate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</si>
  <si>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</si>
  <si>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</si>
  <si>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</si>
  <si>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</si>
  <si>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</si>
  <si>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</si>
  <si>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</si>
  <si>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</si>
  <si>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</si>
  <si>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</si>
  <si>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</si>
  <si>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</si>
  <si>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</si>
  <si>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</si>
  <si>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</si>
  <si>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</si>
  <si>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</si>
  <si>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</si>
  <si>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</si>
  <si>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</si>
  <si>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</si>
  <si>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</si>
  <si>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</si>
  <si>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</si>
  <si>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</si>
  <si>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</si>
  <si>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Operating margin (Non-GAAP)</t>
  </si>
  <si>
    <t>Interest &amp; other income as a % of average  investments and cash</t>
  </si>
  <si>
    <t>Interest expense as a % of average debt balances</t>
  </si>
  <si>
    <t>All Other  (Operating expense)</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</si>
  <si>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</si>
  <si>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</si>
  <si>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</si>
  <si>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</si>
  <si>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</si>
  <si>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</si>
  <si>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</si>
  <si>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</si>
  <si>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</si>
  <si>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</si>
  <si>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</si>
  <si>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</si>
  <si>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</si>
  <si>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</si>
  <si>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</si>
  <si>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</si>
  <si>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</si>
  <si>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</si>
  <si>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</si>
  <si>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</si>
  <si>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</si>
  <si>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</si>
  <si>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</si>
  <si>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</si>
  <si>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</si>
  <si>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</si>
  <si>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</si>
  <si>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</si>
  <si>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</si>
  <si>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</si>
  <si>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</si>
  <si>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</si>
  <si>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</si>
  <si>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</si>
  <si>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</si>
  <si>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</si>
  <si>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</si>
  <si>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</si>
  <si>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</si>
  <si>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</si>
  <si>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</si>
  <si>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</si>
  <si>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</si>
  <si>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</si>
  <si>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</si>
  <si>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</si>
  <si>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</si>
  <si>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</si>
  <si>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</si>
  <si>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</si>
  <si>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</si>
  <si>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</si>
  <si>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</si>
  <si>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</si>
  <si>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</si>
  <si>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</si>
  <si>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</si>
  <si>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</si>
  <si>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Non-GAAP EPS Growth (YoY)</t>
  </si>
  <si>
    <t>Cash Flow From Operations Growth (YoY)</t>
  </si>
  <si>
    <t>Sept-20</t>
  </si>
  <si>
    <t>F4Q20</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</si>
  <si>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</si>
  <si>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</si>
  <si>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</si>
  <si>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</si>
  <si>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</si>
  <si>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</si>
  <si>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</si>
  <si>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</si>
  <si>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</si>
  <si>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</si>
  <si>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</si>
  <si>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</si>
  <si>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</si>
  <si>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</si>
  <si>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</si>
  <si>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</si>
  <si>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</si>
  <si>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Dec-25E</t>
  </si>
  <si>
    <t>Mar-26E</t>
  </si>
  <si>
    <t>June-26E</t>
  </si>
  <si>
    <t>Sept-26E</t>
  </si>
  <si>
    <t>F1Q26E</t>
  </si>
  <si>
    <t>F2Q26E</t>
  </si>
  <si>
    <t>F3Q26E</t>
  </si>
  <si>
    <t>F4Q26E</t>
  </si>
  <si>
    <t>FY 2026E</t>
  </si>
  <si>
    <t>Global Store Growth</t>
  </si>
  <si>
    <t>Approximate Dividend Payout Ratio</t>
  </si>
  <si>
    <t>Sept-21</t>
  </si>
  <si>
    <t>F4Q21</t>
  </si>
  <si>
    <t>FY 2021</t>
  </si>
  <si>
    <t>North America (GAAP)</t>
  </si>
  <si>
    <t>NA company-operated stores</t>
  </si>
  <si>
    <t>NA Revenue: Company-operated stores ($M)</t>
  </si>
  <si>
    <t>NA licensed stores</t>
  </si>
  <si>
    <t>NA Revenue: licensed stores ($M)</t>
  </si>
  <si>
    <t>NA Revenue: Other</t>
  </si>
  <si>
    <t>NA total stores</t>
  </si>
  <si>
    <t>NA total net store additions</t>
  </si>
  <si>
    <t>NA total net revenues ($M)</t>
  </si>
  <si>
    <t>NA total operating expenses</t>
  </si>
  <si>
    <t>NA total operating income</t>
  </si>
  <si>
    <t>NA total operating margin (%)</t>
  </si>
  <si>
    <t>GAAP EPS Growth (YoY)</t>
  </si>
  <si>
    <t>Jan-22</t>
  </si>
  <si>
    <t>F1Q22</t>
  </si>
  <si>
    <t>F2Q22</t>
  </si>
  <si>
    <t>Mar-22</t>
  </si>
  <si>
    <t>Dec-26E</t>
  </si>
  <si>
    <t>Mar-27E</t>
  </si>
  <si>
    <t>June-27E</t>
  </si>
  <si>
    <t>Sept-27E</t>
  </si>
  <si>
    <t>F1Q27E</t>
  </si>
  <si>
    <t>F2Q27E</t>
  </si>
  <si>
    <t>F3Q27E</t>
  </si>
  <si>
    <t>F4Q27E</t>
  </si>
  <si>
    <t>FY 2027E</t>
  </si>
  <si>
    <t>Revenue growth rate (YoY)</t>
  </si>
  <si>
    <t>Average company operated stores in the period</t>
  </si>
  <si>
    <t>Average revenue per average licensed store</t>
  </si>
  <si>
    <t>June-22</t>
  </si>
  <si>
    <t>F3Q22</t>
  </si>
  <si>
    <t>Average revenue per average company operated store</t>
  </si>
  <si>
    <t xml:space="preserve">Average revenue per average company operated store </t>
  </si>
  <si>
    <t>Shares repurchased: Share count (in millions of shares, exASRs)</t>
  </si>
  <si>
    <t>Change in basic shares  (excluding repurchases)</t>
  </si>
  <si>
    <t>Change in diluted shares  (excluding repurchases)</t>
  </si>
  <si>
    <t>Note: Blue cells = primary inputs. Purple cells = guidance.</t>
  </si>
  <si>
    <t>Starbucks Balance Sheet</t>
  </si>
  <si>
    <t>Assets</t>
  </si>
  <si>
    <t>Cash and equivalents</t>
  </si>
  <si>
    <t>Short-term investments</t>
  </si>
  <si>
    <t>Accounts receivable, net</t>
  </si>
  <si>
    <t>Inventories</t>
  </si>
  <si>
    <t>Prepaid expenses and other current assets</t>
  </si>
  <si>
    <t>Total Current Assets</t>
  </si>
  <si>
    <t>Long-term investments</t>
  </si>
  <si>
    <t>Equity investments</t>
  </si>
  <si>
    <t xml:space="preserve">Property, plant and equipment, net </t>
  </si>
  <si>
    <t>Operating lease, right-of-use asset</t>
  </si>
  <si>
    <t>Deferred income taxes, net</t>
  </si>
  <si>
    <t>Other long-term assets</t>
  </si>
  <si>
    <t>Other intangible assets, net</t>
  </si>
  <si>
    <t>Goodwill</t>
  </si>
  <si>
    <t>Total Assets</t>
  </si>
  <si>
    <t>Liabilities</t>
  </si>
  <si>
    <t>Accounts payable</t>
  </si>
  <si>
    <t>Accrued liabilities</t>
  </si>
  <si>
    <t>Accrued payroll and benefits (current)</t>
  </si>
  <si>
    <t>Income taxes payable (current)</t>
  </si>
  <si>
    <t xml:space="preserve">Current portion of operating lease liability </t>
  </si>
  <si>
    <t>Stored value card liability and deferred revenue</t>
  </si>
  <si>
    <t>Current portion of debt</t>
  </si>
  <si>
    <t>Other current liabilities</t>
  </si>
  <si>
    <t>Total Current liabilities</t>
  </si>
  <si>
    <t>Long-term debt</t>
  </si>
  <si>
    <t>Operating lease liability</t>
  </si>
  <si>
    <t>Deferred revenue</t>
  </si>
  <si>
    <t>Other long-term liabilities</t>
  </si>
  <si>
    <t>Total liabilities</t>
  </si>
  <si>
    <t>Equity</t>
  </si>
  <si>
    <t>Common stock and additional paid in capital</t>
  </si>
  <si>
    <t xml:space="preserve">Retained earnings </t>
  </si>
  <si>
    <t>Accumulated other comprehensive loss</t>
  </si>
  <si>
    <t>Noncontrolling interest</t>
  </si>
  <si>
    <t>Total shareholders' equity</t>
  </si>
  <si>
    <t>Total liabilities and equity</t>
  </si>
  <si>
    <t>Balance Sheet Ratios &amp; Assumptions</t>
  </si>
  <si>
    <t>Day Count (number of days in the quarter)</t>
  </si>
  <si>
    <t>Receivables turnover</t>
  </si>
  <si>
    <t>Days sales outstanding</t>
  </si>
  <si>
    <t>Inventory turnover</t>
  </si>
  <si>
    <t>Payables turnover</t>
  </si>
  <si>
    <t>Number of days of payables</t>
  </si>
  <si>
    <t>Total investments as a % of assets</t>
  </si>
  <si>
    <t>Short-term investments as a % of total investments</t>
  </si>
  <si>
    <t>Deferred inc taxes as % of def revenue &amp; stored value liability</t>
  </si>
  <si>
    <t>Depreciation &amp; amortization-to-average P&amp;E</t>
  </si>
  <si>
    <t>Debt Assumptions</t>
  </si>
  <si>
    <t>Debt maturities</t>
  </si>
  <si>
    <t>Debt moved from Long to Current</t>
  </si>
  <si>
    <t>Debt issuance</t>
  </si>
  <si>
    <t>Debt-to-equity ratio</t>
  </si>
  <si>
    <t>Short-term debt to total debt</t>
  </si>
  <si>
    <t>Starbucks Cash Flow Statement</t>
  </si>
  <si>
    <t>Cash flows from operating activities</t>
  </si>
  <si>
    <t>Net income - including noncontrolling interests</t>
  </si>
  <si>
    <t xml:space="preserve">Depreciation and amortization </t>
  </si>
  <si>
    <t>Income earned from equity method investees</t>
  </si>
  <si>
    <t>Distributions received from equity method investees</t>
  </si>
  <si>
    <t>Gain resulting from acquisitions/sales</t>
  </si>
  <si>
    <t>Stock-based compensation expense</t>
  </si>
  <si>
    <t>Other Noncash Income/(Expense)</t>
  </si>
  <si>
    <t>Changes in operating assets and liabilities, net of the effects</t>
  </si>
  <si>
    <t>Accounts receivable</t>
  </si>
  <si>
    <t>Increase/(Decrease) in prepaid expenses, other current</t>
  </si>
  <si>
    <t>Increase/(Decrease) in Income Taxes Payable</t>
  </si>
  <si>
    <t>Other operating assets and liabilities</t>
  </si>
  <si>
    <t>Net cash provided by operating activities</t>
  </si>
  <si>
    <t>Cash flows from investing activities</t>
  </si>
  <si>
    <t>Sale/Maturities/(Purchases) of investments</t>
  </si>
  <si>
    <t>Additions to PP&amp;E</t>
  </si>
  <si>
    <t>Other investing activities</t>
  </si>
  <si>
    <t>Net cash provided by (used for) investing</t>
  </si>
  <si>
    <t>Cash flows from financing activities</t>
  </si>
  <si>
    <t xml:space="preserve">Debt/commercial paper (payments) </t>
  </si>
  <si>
    <t>Proceeds from issuance of commercial paper</t>
  </si>
  <si>
    <t>Proceeds from issuance of common stock</t>
  </si>
  <si>
    <t>Cash dividends paid</t>
  </si>
  <si>
    <t>Repurchase of common stock</t>
  </si>
  <si>
    <t>Minimum tax withholdings on share-based awards</t>
  </si>
  <si>
    <t>Other financing activities</t>
  </si>
  <si>
    <t>Net cash provided by (used for) financing</t>
  </si>
  <si>
    <t>Effect of exchange rate changes &amp; restricted cash</t>
  </si>
  <si>
    <t>Net increase (decrease) in cash and equivalents</t>
  </si>
  <si>
    <t>Cash and equivalents at beginning of period</t>
  </si>
  <si>
    <t>Cash and equivalents at end of period (BS)</t>
  </si>
  <si>
    <t>Free Cash Flow to Firm (FCFF)</t>
  </si>
  <si>
    <t>DCF Period (approximate number of years)</t>
  </si>
  <si>
    <t>Discounted FCFF</t>
  </si>
  <si>
    <t xml:space="preserve">Net Cash and investments per share </t>
  </si>
  <si>
    <t>Cash &amp; marketable securities (exEquity method investments)</t>
  </si>
  <si>
    <t>Total Debt</t>
  </si>
  <si>
    <t xml:space="preserve">Adjusted net cash  per share </t>
  </si>
  <si>
    <t>Cash Flow Ratios &amp; Assumptions</t>
  </si>
  <si>
    <t>Cash Flow Statement Ratios</t>
  </si>
  <si>
    <t>Share-based compensation to revenue</t>
  </si>
  <si>
    <t xml:space="preserve">Distributions from equity investments as a % of income </t>
  </si>
  <si>
    <t>Net Cash from Operations growth rate (YoY)</t>
  </si>
  <si>
    <t>Capex to revenue</t>
  </si>
  <si>
    <t>Return to Shareholders (Dividends and Repurchases)</t>
  </si>
  <si>
    <t>Return to Shareholders (cumulative 2023 to 2025)</t>
  </si>
  <si>
    <t>NA Change in Product/dist costs (as % of total segment revenue)</t>
  </si>
  <si>
    <t>NA Change in Store opex (as % of comp-op store revenue)</t>
  </si>
  <si>
    <t>NA Change in Other opex (as % of total segment revenue)</t>
  </si>
  <si>
    <t>NA Change in G&amp;A expense (as % of total segment revenue)</t>
  </si>
  <si>
    <t>Intl Change in Product/dist costs (as % of total segment revenue)</t>
  </si>
  <si>
    <t>Intl Change in Store opex (as % of comp-op store revenue)</t>
  </si>
  <si>
    <t>Intl Change in Other opex (as % of total segment revenue)</t>
  </si>
  <si>
    <t>Intl Change in G&amp;A expense (as % of total segment revenue)</t>
  </si>
  <si>
    <t>Channel Dev Change in Product/dist costs (as % of revenue)</t>
  </si>
  <si>
    <t>Channel Dev Change in Other opex (as % of revenue)</t>
  </si>
  <si>
    <t>Channel Dev Change in G&amp;A expense (as % of  revenue)</t>
  </si>
  <si>
    <t>EBITDA (Non-GAAP)</t>
  </si>
  <si>
    <t>Debt</t>
  </si>
  <si>
    <t>Total lease costs (10-K)</t>
  </si>
  <si>
    <t>Debt-to-EBITDA (Non-GAAP)</t>
  </si>
  <si>
    <t>CAGR in Non-GAAP EPS (2022 to 2025) including repurchases</t>
  </si>
  <si>
    <t>CAGR in Non-GAAP EPS (2022 to 2025) before repurchases</t>
  </si>
  <si>
    <t>Impact from repurchases (net of incremental interest expense)</t>
  </si>
  <si>
    <t>Low-end of Non-GAAP EPS guidance (assuming 15% CAGR off $2.88 in 2022)</t>
  </si>
  <si>
    <t>High-end of Non-GAAP EPS guidance (assuming 20% CAGR off $2.88 in 2022)</t>
  </si>
  <si>
    <t>Non-GAAP EPS CAGR (From 2022 to 2025)</t>
  </si>
  <si>
    <t>Multiple Valuation</t>
  </si>
  <si>
    <t>Adjustments</t>
  </si>
  <si>
    <t>Implied 12-month target value</t>
  </si>
  <si>
    <t>PE 3-month average (NTM)</t>
  </si>
  <si>
    <t>PE 3-month high (NTM)</t>
  </si>
  <si>
    <t>PE 3-month low (NTM)</t>
  </si>
  <si>
    <t>Long-Term Historic Range</t>
  </si>
  <si>
    <t>PE selected for valuation (NTM)</t>
  </si>
  <si>
    <t>Global Store Growth CAGR (2022 to 2025)</t>
  </si>
  <si>
    <t>Global Revenue Growth CAGR (2022 to 2025)</t>
  </si>
  <si>
    <t>18x to 37x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</si>
</sst>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 numFmtId="227" formatCode="0.0\x"/>
    <numFmt numFmtId="228" formatCode="&quot;$&quot;#,##0"/>
    <numFmt numFmtId="229" formatCode="0\x"/>
    <numFmt numFmtId="230" formatCode="_(* #,##0.0_);_(* \(#,##0.0\);_(* &quot;-&quot;?_);_(@_)"/>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b/>
      <u/>
      <sz val="11"/>
      <color rgb="FFFF0000"/>
      <name val="Calibri"/>
      <family val="2"/>
      <scheme val="minor"/>
    </font>
    <font>
      <i/>
      <u/>
      <sz val="11"/>
      <name val="Calibri"/>
      <family val="2"/>
      <scheme val="minor"/>
    </font>
    <font>
      <b/>
      <u val="singleAccounting"/>
      <sz val="11"/>
      <color rgb="FFFF0000"/>
      <name val="Calibri"/>
      <family val="2"/>
      <scheme val="minor"/>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tint="-4.9989318521683403E-2"/>
        <bgColor indexed="64"/>
      </patternFill>
    </fill>
    <fill>
      <patternFill patternType="solid">
        <fgColor theme="7" tint="0.39997558519241921"/>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3" fillId="6" borderId="34">
      <alignment horizontal="center" vertical="center" wrapText="1"/>
    </xf>
    <xf numFmtId="196" fontId="27" fillId="0" borderId="34">
      <protection hidden="1"/>
    </xf>
    <xf numFmtId="196" fontId="27" fillId="0" borderId="34">
      <protection hidden="1"/>
    </xf>
    <xf numFmtId="37" fontId="48" fillId="0" borderId="34">
      <alignment horizontal="right"/>
      <protection locked="0"/>
    </xf>
    <xf numFmtId="37" fontId="49" fillId="0" borderId="34">
      <alignment horizontal="right"/>
      <protection locked="0"/>
    </xf>
  </cellStyleXfs>
  <cellXfs count="491">
    <xf numFmtId="0" fontId="0" fillId="0" borderId="0" xfId="0"/>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3" fillId="0" borderId="0" xfId="0" applyFont="1"/>
    <xf numFmtId="9" fontId="4" fillId="0" borderId="5" xfId="2" applyFont="1" applyBorder="1" applyAlignment="1">
      <alignment horizontal="right"/>
    </xf>
    <xf numFmtId="164" fontId="53" fillId="0" borderId="0" xfId="1" quotePrefix="1" applyNumberFormat="1" applyFont="1" applyAlignment="1">
      <alignment horizontal="right"/>
    </xf>
    <xf numFmtId="43" fontId="53" fillId="0" borderId="0" xfId="1" quotePrefix="1" applyFont="1" applyAlignment="1">
      <alignment horizontal="right"/>
    </xf>
    <xf numFmtId="164" fontId="52" fillId="3" borderId="0" xfId="1" quotePrefix="1" applyNumberFormat="1" applyFont="1" applyFill="1" applyAlignment="1">
      <alignment horizontal="right"/>
    </xf>
    <xf numFmtId="164" fontId="54" fillId="2" borderId="2" xfId="1" quotePrefix="1" applyNumberFormat="1" applyFont="1" applyFill="1" applyBorder="1" applyAlignment="1">
      <alignment horizontal="right"/>
    </xf>
    <xf numFmtId="164" fontId="55"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8" fillId="0" borderId="0" xfId="1" applyNumberFormat="1" applyFont="1" applyAlignment="1">
      <alignment horizontal="right"/>
    </xf>
    <xf numFmtId="165" fontId="58" fillId="0" borderId="5" xfId="1" applyNumberFormat="1" applyFont="1" applyBorder="1" applyAlignment="1">
      <alignment horizontal="right"/>
    </xf>
    <xf numFmtId="0" fontId="4" fillId="0" borderId="4" xfId="0" applyFont="1" applyBorder="1"/>
    <xf numFmtId="0" fontId="59" fillId="0" borderId="4" xfId="0" applyFont="1" applyBorder="1"/>
    <xf numFmtId="0" fontId="59" fillId="0" borderId="0" xfId="0" applyFont="1"/>
    <xf numFmtId="165" fontId="59" fillId="0" borderId="0" xfId="1" applyNumberFormat="1" applyFont="1" applyAlignment="1">
      <alignment horizontal="right"/>
    </xf>
    <xf numFmtId="165" fontId="59" fillId="0" borderId="5" xfId="1" applyNumberFormat="1" applyFont="1" applyBorder="1" applyAlignment="1">
      <alignment horizontal="right"/>
    </xf>
    <xf numFmtId="0" fontId="58" fillId="0" borderId="0" xfId="0" applyFont="1"/>
    <xf numFmtId="43" fontId="59" fillId="0" borderId="0" xfId="1" applyFont="1" applyAlignment="1">
      <alignment horizontal="right"/>
    </xf>
    <xf numFmtId="43" fontId="59" fillId="0" borderId="5" xfId="1" applyFont="1" applyBorder="1" applyAlignment="1">
      <alignment horizontal="right"/>
    </xf>
    <xf numFmtId="165" fontId="58" fillId="0" borderId="5" xfId="1" quotePrefix="1" applyNumberFormat="1" applyFont="1" applyBorder="1" applyAlignment="1">
      <alignment horizontal="right"/>
    </xf>
    <xf numFmtId="166" fontId="58" fillId="0" borderId="0" xfId="2" applyNumberFormat="1" applyFont="1" applyAlignment="1">
      <alignment horizontal="right"/>
    </xf>
    <xf numFmtId="9" fontId="58" fillId="0" borderId="5" xfId="2" applyFont="1" applyBorder="1" applyAlignment="1">
      <alignment horizontal="right"/>
    </xf>
    <xf numFmtId="166" fontId="58" fillId="0" borderId="5" xfId="2" applyNumberFormat="1" applyFont="1" applyBorder="1" applyAlignment="1">
      <alignment horizontal="right"/>
    </xf>
    <xf numFmtId="9" fontId="58" fillId="0" borderId="0" xfId="2" applyFont="1" applyAlignment="1">
      <alignment horizontal="right"/>
    </xf>
    <xf numFmtId="164" fontId="58" fillId="0" borderId="5" xfId="1" quotePrefix="1" applyNumberFormat="1" applyFont="1" applyBorder="1" applyAlignment="1">
      <alignment horizontal="right"/>
    </xf>
    <xf numFmtId="165" fontId="60" fillId="9" borderId="0" xfId="1" applyNumberFormat="1" applyFont="1" applyFill="1" applyAlignment="1">
      <alignment horizontal="right"/>
    </xf>
    <xf numFmtId="165" fontId="58" fillId="9" borderId="0" xfId="1" applyNumberFormat="1" applyFont="1" applyFill="1" applyAlignment="1">
      <alignment horizontal="right"/>
    </xf>
    <xf numFmtId="9" fontId="58" fillId="9" borderId="0" xfId="2" applyFont="1" applyFill="1" applyAlignment="1">
      <alignment horizontal="right"/>
    </xf>
    <xf numFmtId="166" fontId="58" fillId="9" borderId="0" xfId="2" applyNumberFormat="1" applyFont="1" applyFill="1" applyAlignment="1">
      <alignment horizontal="right"/>
    </xf>
    <xf numFmtId="7" fontId="58" fillId="0" borderId="0" xfId="1" applyNumberFormat="1" applyFont="1" applyAlignment="1">
      <alignment horizontal="right"/>
    </xf>
    <xf numFmtId="165" fontId="58" fillId="0" borderId="8" xfId="1" applyNumberFormat="1" applyFont="1" applyBorder="1" applyAlignment="1">
      <alignment horizontal="right"/>
    </xf>
    <xf numFmtId="0" fontId="58" fillId="0" borderId="3" xfId="0" applyFont="1" applyBorder="1" applyAlignment="1">
      <alignment horizontal="left" indent="2"/>
    </xf>
    <xf numFmtId="164" fontId="54" fillId="2" borderId="29" xfId="1" quotePrefix="1" applyNumberFormat="1" applyFont="1" applyFill="1" applyBorder="1" applyAlignment="1">
      <alignment horizontal="right"/>
    </xf>
    <xf numFmtId="164" fontId="55" fillId="2" borderId="5" xfId="1" quotePrefix="1" applyNumberFormat="1" applyFont="1" applyFill="1" applyBorder="1" applyAlignment="1">
      <alignment horizontal="right"/>
    </xf>
    <xf numFmtId="164" fontId="2" fillId="3" borderId="29"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7" fontId="58" fillId="0" borderId="0" xfId="1" applyNumberFormat="1" applyFont="1" applyAlignment="1">
      <alignment horizontal="right"/>
    </xf>
    <xf numFmtId="0" fontId="58" fillId="0" borderId="4" xfId="0" applyFont="1" applyBorder="1"/>
    <xf numFmtId="9" fontId="4" fillId="0" borderId="0" xfId="1" applyNumberFormat="1" applyFont="1"/>
    <xf numFmtId="0" fontId="59" fillId="0" borderId="3" xfId="0" applyFont="1" applyBorder="1" applyAlignment="1">
      <alignment horizontal="left" indent="4"/>
    </xf>
    <xf numFmtId="0" fontId="58" fillId="0" borderId="3" xfId="0" applyFont="1" applyBorder="1" applyAlignment="1">
      <alignment horizontal="left" indent="5"/>
    </xf>
    <xf numFmtId="164" fontId="58" fillId="0" borderId="0" xfId="1" applyNumberFormat="1" applyFont="1" applyAlignment="1">
      <alignment horizontal="right"/>
    </xf>
    <xf numFmtId="164" fontId="58" fillId="0" borderId="5" xfId="1" applyNumberFormat="1" applyFont="1" applyBorder="1" applyAlignment="1">
      <alignment horizontal="right"/>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52" fillId="0" borderId="0" xfId="1" applyNumberFormat="1" applyFont="1" applyAlignment="1">
      <alignment horizontal="right"/>
    </xf>
    <xf numFmtId="164" fontId="52" fillId="0" borderId="5" xfId="1" applyNumberFormat="1" applyFont="1" applyBorder="1" applyAlignment="1">
      <alignment horizontal="right"/>
    </xf>
    <xf numFmtId="164" fontId="60" fillId="9" borderId="0" xfId="1" applyNumberFormat="1" applyFont="1" applyFill="1" applyAlignment="1">
      <alignment horizontal="right"/>
    </xf>
    <xf numFmtId="165" fontId="53" fillId="0" borderId="5" xfId="1" quotePrefix="1" applyNumberFormat="1" applyFont="1" applyBorder="1" applyAlignment="1">
      <alignment horizontal="right"/>
    </xf>
    <xf numFmtId="165" fontId="4" fillId="0" borderId="25" xfId="1" quotePrefix="1" applyNumberFormat="1" applyFont="1" applyBorder="1" applyAlignment="1">
      <alignment horizontal="right"/>
    </xf>
    <xf numFmtId="9" fontId="62" fillId="0" borderId="0" xfId="2" applyFont="1" applyAlignment="1">
      <alignment horizontal="right"/>
    </xf>
    <xf numFmtId="9" fontId="62" fillId="0" borderId="5" xfId="2" applyFont="1" applyBorder="1" applyAlignment="1">
      <alignment horizontal="right"/>
    </xf>
    <xf numFmtId="9" fontId="59" fillId="0" borderId="5" xfId="2" applyFont="1" applyBorder="1" applyAlignment="1">
      <alignment horizontal="right"/>
    </xf>
    <xf numFmtId="167" fontId="58" fillId="9" borderId="0" xfId="1" applyNumberFormat="1" applyFont="1" applyFill="1" applyAlignment="1">
      <alignment horizontal="right"/>
    </xf>
    <xf numFmtId="0" fontId="63" fillId="0" borderId="0" xfId="0" applyFont="1"/>
    <xf numFmtId="0" fontId="63" fillId="0" borderId="3" xfId="0" applyFont="1" applyBorder="1" applyAlignment="1">
      <alignment horizontal="left"/>
    </xf>
    <xf numFmtId="165" fontId="63" fillId="0" borderId="0" xfId="1" applyNumberFormat="1" applyFont="1" applyAlignment="1">
      <alignment horizontal="right"/>
    </xf>
    <xf numFmtId="165" fontId="63" fillId="0" borderId="5" xfId="1" quotePrefix="1" applyNumberFormat="1" applyFont="1" applyBorder="1" applyAlignment="1">
      <alignment horizontal="right"/>
    </xf>
    <xf numFmtId="165" fontId="59" fillId="0" borderId="27" xfId="1" applyNumberFormat="1" applyFont="1" applyBorder="1" applyAlignment="1">
      <alignment horizontal="right"/>
    </xf>
    <xf numFmtId="165" fontId="53" fillId="0" borderId="28" xfId="1" quotePrefix="1" applyNumberFormat="1" applyFont="1" applyBorder="1" applyAlignment="1">
      <alignment horizontal="right"/>
    </xf>
    <xf numFmtId="0" fontId="58" fillId="0" borderId="12" xfId="0" applyFont="1" applyBorder="1" applyAlignment="1">
      <alignment horizontal="left" indent="2"/>
    </xf>
    <xf numFmtId="0" fontId="58" fillId="0" borderId="13" xfId="0" applyFont="1" applyBorder="1" applyAlignment="1">
      <alignment horizontal="left" indent="1"/>
    </xf>
    <xf numFmtId="9" fontId="58" fillId="9" borderId="26" xfId="2" applyFont="1" applyFill="1" applyBorder="1" applyAlignment="1">
      <alignment horizontal="right"/>
    </xf>
    <xf numFmtId="164" fontId="59" fillId="0" borderId="26" xfId="1" applyNumberFormat="1" applyFont="1" applyBorder="1" applyAlignment="1">
      <alignment horizontal="right"/>
    </xf>
    <xf numFmtId="164" fontId="59" fillId="0" borderId="25" xfId="1" quotePrefix="1" applyNumberFormat="1" applyFont="1" applyBorder="1" applyAlignment="1">
      <alignment horizontal="right"/>
    </xf>
    <xf numFmtId="164" fontId="59" fillId="0" borderId="0" xfId="2" applyNumberFormat="1" applyFont="1" applyAlignment="1">
      <alignment horizontal="right"/>
    </xf>
    <xf numFmtId="166" fontId="59" fillId="0" borderId="0" xfId="2" applyNumberFormat="1" applyFont="1" applyAlignment="1">
      <alignment horizontal="right"/>
    </xf>
    <xf numFmtId="164" fontId="58" fillId="0" borderId="28" xfId="1" applyNumberFormat="1" applyFont="1" applyBorder="1" applyAlignment="1">
      <alignment horizontal="right"/>
    </xf>
    <xf numFmtId="0" fontId="65" fillId="0" borderId="0" xfId="0" applyFont="1"/>
    <xf numFmtId="0" fontId="66" fillId="0" borderId="4" xfId="0" applyFont="1" applyBorder="1" applyAlignment="1">
      <alignment horizontal="left"/>
    </xf>
    <xf numFmtId="0" fontId="64" fillId="0" borderId="13" xfId="0" applyFont="1" applyBorder="1"/>
    <xf numFmtId="164" fontId="64" fillId="0" borderId="26" xfId="1" applyNumberFormat="1" applyFont="1" applyBorder="1" applyAlignment="1">
      <alignment horizontal="right"/>
    </xf>
    <xf numFmtId="164" fontId="64" fillId="0" borderId="25" xfId="1" applyNumberFormat="1" applyFont="1" applyBorder="1" applyAlignment="1">
      <alignment horizontal="right"/>
    </xf>
    <xf numFmtId="43" fontId="64" fillId="0" borderId="32" xfId="1" applyFont="1" applyBorder="1" applyAlignment="1">
      <alignment horizontal="right"/>
    </xf>
    <xf numFmtId="43" fontId="64" fillId="0" borderId="30" xfId="1" applyFont="1" applyBorder="1" applyAlignment="1">
      <alignment horizontal="right"/>
    </xf>
    <xf numFmtId="0" fontId="64" fillId="0" borderId="24" xfId="0" applyFont="1" applyBorder="1" applyAlignment="1">
      <alignment horizontal="left"/>
    </xf>
    <xf numFmtId="0" fontId="64" fillId="0" borderId="12" xfId="0" applyFont="1" applyBorder="1" applyAlignment="1">
      <alignment horizontal="left" indent="2"/>
    </xf>
    <xf numFmtId="0" fontId="64" fillId="0" borderId="13" xfId="0" applyFont="1" applyBorder="1" applyAlignment="1">
      <alignment horizontal="left"/>
    </xf>
    <xf numFmtId="0" fontId="63" fillId="0" borderId="23" xfId="0" applyFont="1" applyBorder="1" applyAlignment="1">
      <alignment horizontal="left" indent="1"/>
    </xf>
    <xf numFmtId="0" fontId="63" fillId="0" borderId="24" xfId="0" applyFont="1" applyBorder="1"/>
    <xf numFmtId="164" fontId="67" fillId="0" borderId="27" xfId="1" applyNumberFormat="1" applyFont="1" applyBorder="1" applyAlignment="1">
      <alignment horizontal="right"/>
    </xf>
    <xf numFmtId="164" fontId="67" fillId="0" borderId="28" xfId="1" applyNumberFormat="1" applyFont="1" applyBorder="1" applyAlignment="1">
      <alignment horizontal="right"/>
    </xf>
    <xf numFmtId="164" fontId="68" fillId="0" borderId="27" xfId="1" applyNumberFormat="1" applyFont="1" applyBorder="1" applyAlignment="1">
      <alignment horizontal="right"/>
    </xf>
    <xf numFmtId="164" fontId="68" fillId="0" borderId="28" xfId="1" applyNumberFormat="1" applyFont="1" applyBorder="1" applyAlignment="1">
      <alignment horizontal="right"/>
    </xf>
    <xf numFmtId="0" fontId="64" fillId="0" borderId="31" xfId="0" applyFont="1" applyBorder="1" applyAlignment="1">
      <alignment horizontal="left" indent="2"/>
    </xf>
    <xf numFmtId="9" fontId="58" fillId="9" borderId="7" xfId="2" applyFont="1" applyFill="1" applyBorder="1" applyAlignment="1">
      <alignment horizontal="right"/>
    </xf>
    <xf numFmtId="164" fontId="58" fillId="9" borderId="0" xfId="1" applyNumberFormat="1" applyFont="1" applyFill="1" applyAlignment="1">
      <alignment horizontal="right"/>
    </xf>
    <xf numFmtId="164" fontId="58" fillId="0" borderId="27" xfId="1" applyNumberFormat="1" applyFont="1" applyBorder="1" applyAlignment="1">
      <alignment horizontal="right"/>
    </xf>
    <xf numFmtId="164" fontId="59" fillId="0" borderId="5" xfId="1" quotePrefix="1" applyNumberFormat="1" applyFont="1" applyBorder="1" applyAlignment="1">
      <alignment horizontal="right"/>
    </xf>
    <xf numFmtId="166" fontId="59" fillId="0" borderId="5" xfId="2" quotePrefix="1" applyNumberFormat="1" applyFont="1" applyBorder="1" applyAlignment="1">
      <alignment horizontal="right"/>
    </xf>
    <xf numFmtId="0" fontId="69" fillId="0" borderId="0" xfId="0" applyFont="1"/>
    <xf numFmtId="0" fontId="64" fillId="0" borderId="33" xfId="0" applyFont="1" applyBorder="1" applyAlignment="1">
      <alignment horizontal="left" indent="1"/>
    </xf>
    <xf numFmtId="165" fontId="58" fillId="0" borderId="0" xfId="1" applyNumberFormat="1" applyFont="1" applyFill="1" applyAlignment="1">
      <alignment horizontal="right"/>
    </xf>
    <xf numFmtId="43" fontId="58" fillId="0" borderId="0" xfId="1" applyFont="1" applyFill="1" applyAlignment="1">
      <alignment horizontal="right"/>
    </xf>
    <xf numFmtId="164" fontId="59" fillId="0" borderId="0" xfId="1" applyNumberFormat="1" applyFont="1" applyFill="1" applyAlignment="1">
      <alignment horizontal="right"/>
    </xf>
    <xf numFmtId="164" fontId="60" fillId="0" borderId="0" xfId="1" applyNumberFormat="1" applyFont="1" applyFill="1" applyAlignment="1">
      <alignment horizontal="right"/>
    </xf>
    <xf numFmtId="164" fontId="58" fillId="0" borderId="0" xfId="1" applyNumberFormat="1" applyFont="1" applyFill="1" applyAlignment="1">
      <alignment horizontal="right"/>
    </xf>
    <xf numFmtId="164" fontId="52" fillId="0" borderId="0" xfId="1" applyNumberFormat="1" applyFont="1" applyFill="1" applyAlignment="1">
      <alignment horizontal="right"/>
    </xf>
    <xf numFmtId="164" fontId="67" fillId="0" borderId="27" xfId="1" applyNumberFormat="1" applyFont="1" applyFill="1" applyBorder="1" applyAlignment="1">
      <alignment horizontal="right"/>
    </xf>
    <xf numFmtId="164" fontId="64" fillId="0" borderId="26" xfId="1" applyNumberFormat="1" applyFont="1" applyFill="1" applyBorder="1" applyAlignment="1">
      <alignment horizontal="right"/>
    </xf>
    <xf numFmtId="164" fontId="68" fillId="0" borderId="27" xfId="1" applyNumberFormat="1" applyFont="1" applyFill="1" applyBorder="1" applyAlignment="1">
      <alignment horizontal="right"/>
    </xf>
    <xf numFmtId="43" fontId="59" fillId="0" borderId="0" xfId="1" applyFont="1" applyFill="1" applyAlignment="1">
      <alignment horizontal="right"/>
    </xf>
    <xf numFmtId="43" fontId="64" fillId="0" borderId="32" xfId="1" applyFont="1" applyFill="1" applyBorder="1" applyAlignment="1">
      <alignment horizontal="right"/>
    </xf>
    <xf numFmtId="165" fontId="60" fillId="0" borderId="0" xfId="1" applyNumberFormat="1" applyFont="1" applyFill="1" applyAlignment="1">
      <alignment horizontal="right"/>
    </xf>
    <xf numFmtId="166" fontId="58" fillId="0" borderId="0" xfId="2" applyNumberFormat="1" applyFont="1" applyFill="1" applyAlignment="1">
      <alignment horizontal="right"/>
    </xf>
    <xf numFmtId="167" fontId="58" fillId="0" borderId="0" xfId="1" applyNumberFormat="1" applyFont="1" applyFill="1" applyAlignment="1">
      <alignment horizontal="right"/>
    </xf>
    <xf numFmtId="164" fontId="59" fillId="0" borderId="26" xfId="1" applyNumberFormat="1" applyFont="1" applyFill="1" applyBorder="1" applyAlignment="1">
      <alignment horizontal="right"/>
    </xf>
    <xf numFmtId="165" fontId="59" fillId="0" borderId="0" xfId="1" applyNumberFormat="1" applyFont="1" applyFill="1" applyAlignment="1">
      <alignment horizontal="right"/>
    </xf>
    <xf numFmtId="165" fontId="59" fillId="0" borderId="27" xfId="1" applyNumberFormat="1" applyFont="1" applyFill="1" applyBorder="1" applyAlignment="1">
      <alignment horizontal="right"/>
    </xf>
    <xf numFmtId="9" fontId="58" fillId="0" borderId="0" xfId="2" applyFont="1" applyFill="1" applyAlignment="1">
      <alignment horizontal="right"/>
    </xf>
    <xf numFmtId="164" fontId="60" fillId="0" borderId="0" xfId="2" applyNumberFormat="1" applyFont="1" applyFill="1" applyAlignment="1">
      <alignment horizontal="right"/>
    </xf>
    <xf numFmtId="9" fontId="58" fillId="0" borderId="26" xfId="2" applyFont="1" applyFill="1" applyBorder="1" applyAlignment="1">
      <alignment horizontal="right"/>
    </xf>
    <xf numFmtId="165" fontId="63" fillId="0" borderId="0" xfId="1" applyNumberFormat="1" applyFont="1" applyFill="1" applyAlignment="1">
      <alignment horizontal="right"/>
    </xf>
    <xf numFmtId="165" fontId="58" fillId="0" borderId="5" xfId="1" quotePrefix="1" applyNumberFormat="1" applyFont="1" applyFill="1" applyBorder="1" applyAlignment="1">
      <alignment horizontal="right"/>
    </xf>
    <xf numFmtId="0" fontId="63" fillId="0" borderId="23" xfId="0" applyFont="1" applyBorder="1" applyAlignment="1">
      <alignment horizontal="left" indent="5"/>
    </xf>
    <xf numFmtId="0" fontId="64" fillId="0" borderId="12" xfId="0" applyFont="1" applyBorder="1" applyAlignment="1">
      <alignment horizontal="left" indent="6"/>
    </xf>
    <xf numFmtId="166" fontId="58" fillId="0" borderId="5" xfId="2" quotePrefix="1" applyNumberFormat="1" applyFont="1" applyFill="1" applyBorder="1" applyAlignment="1">
      <alignment horizontal="right"/>
    </xf>
    <xf numFmtId="164" fontId="58" fillId="0" borderId="5" xfId="1" quotePrefix="1" applyNumberFormat="1" applyFont="1" applyFill="1" applyBorder="1" applyAlignment="1">
      <alignment horizontal="right"/>
    </xf>
    <xf numFmtId="43" fontId="58" fillId="0" borderId="5" xfId="1" quotePrefix="1" applyFont="1" applyFill="1" applyBorder="1" applyAlignment="1">
      <alignment horizontal="right"/>
    </xf>
    <xf numFmtId="9" fontId="58" fillId="0" borderId="5" xfId="2" applyFont="1" applyFill="1" applyBorder="1" applyAlignment="1">
      <alignment horizontal="right"/>
    </xf>
    <xf numFmtId="164" fontId="58" fillId="0" borderId="28"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0" fillId="0" borderId="5" xfId="2" applyNumberFormat="1" applyFont="1" applyFill="1" applyBorder="1" applyAlignment="1">
      <alignment horizontal="right"/>
    </xf>
    <xf numFmtId="164" fontId="59" fillId="0" borderId="5" xfId="1" quotePrefix="1" applyNumberFormat="1" applyFont="1" applyFill="1" applyBorder="1" applyAlignment="1">
      <alignment horizontal="right"/>
    </xf>
    <xf numFmtId="166" fontId="59" fillId="0" borderId="5" xfId="2" quotePrefix="1" applyNumberFormat="1" applyFont="1" applyFill="1" applyBorder="1" applyAlignment="1">
      <alignment horizontal="right"/>
    </xf>
    <xf numFmtId="9" fontId="59" fillId="0" borderId="5" xfId="2" applyFont="1" applyFill="1" applyBorder="1" applyAlignment="1">
      <alignment horizontal="right"/>
    </xf>
    <xf numFmtId="0" fontId="59" fillId="0" borderId="3" xfId="0" applyFont="1" applyBorder="1" applyAlignment="1">
      <alignment horizontal="left" indent="5"/>
    </xf>
    <xf numFmtId="0" fontId="53" fillId="0" borderId="4" xfId="0" applyFont="1" applyBorder="1"/>
    <xf numFmtId="166" fontId="58" fillId="0" borderId="5" xfId="2" applyNumberFormat="1" applyFont="1" applyFill="1" applyBorder="1" applyAlignment="1">
      <alignment horizontal="right"/>
    </xf>
    <xf numFmtId="43" fontId="60" fillId="0" borderId="0" xfId="1" applyFont="1" applyFill="1" applyAlignment="1">
      <alignment horizontal="right"/>
    </xf>
    <xf numFmtId="164" fontId="58" fillId="0" borderId="0" xfId="1" applyNumberFormat="1" applyFont="1" applyBorder="1" applyAlignment="1">
      <alignment horizontal="right"/>
    </xf>
    <xf numFmtId="164" fontId="58" fillId="0" borderId="26" xfId="1" applyNumberFormat="1" applyFont="1" applyBorder="1" applyAlignment="1">
      <alignment horizontal="right"/>
    </xf>
    <xf numFmtId="164" fontId="58" fillId="0" borderId="25" xfId="1" applyNumberFormat="1" applyFont="1" applyBorder="1" applyAlignment="1">
      <alignment horizontal="right"/>
    </xf>
    <xf numFmtId="164" fontId="58" fillId="0" borderId="0" xfId="1" applyNumberFormat="1" applyFont="1" applyFill="1" applyBorder="1" applyAlignment="1">
      <alignment horizontal="right"/>
    </xf>
    <xf numFmtId="7" fontId="58" fillId="0" borderId="23" xfId="1" applyNumberFormat="1" applyFont="1" applyBorder="1" applyAlignment="1">
      <alignment horizontal="right"/>
    </xf>
    <xf numFmtId="7" fontId="58" fillId="0" borderId="27" xfId="1" applyNumberFormat="1" applyFont="1" applyFill="1" applyBorder="1" applyAlignment="1">
      <alignment horizontal="right"/>
    </xf>
    <xf numFmtId="165" fontId="58" fillId="0" borderId="3" xfId="1" applyNumberFormat="1" applyFont="1" applyBorder="1" applyAlignment="1">
      <alignment horizontal="right"/>
    </xf>
    <xf numFmtId="165" fontId="58" fillId="0" borderId="0" xfId="1" applyNumberFormat="1" applyFont="1" applyFill="1" applyBorder="1" applyAlignment="1">
      <alignment horizontal="right"/>
    </xf>
    <xf numFmtId="164" fontId="58" fillId="0" borderId="12" xfId="1" applyNumberFormat="1" applyFont="1" applyBorder="1" applyAlignment="1">
      <alignment horizontal="right"/>
    </xf>
    <xf numFmtId="9" fontId="62" fillId="0" borderId="5" xfId="2" applyFont="1" applyFill="1" applyBorder="1" applyAlignment="1">
      <alignment horizontal="right"/>
    </xf>
    <xf numFmtId="166" fontId="4" fillId="0" borderId="0" xfId="1" applyNumberFormat="1" applyFont="1"/>
    <xf numFmtId="165" fontId="59" fillId="0" borderId="5" xfId="1" applyNumberFormat="1" applyFont="1" applyFill="1" applyBorder="1" applyAlignment="1">
      <alignment horizontal="right"/>
    </xf>
    <xf numFmtId="9" fontId="62" fillId="0" borderId="0" xfId="2" applyFont="1" applyFill="1" applyAlignment="1">
      <alignment horizontal="right"/>
    </xf>
    <xf numFmtId="9" fontId="59" fillId="0" borderId="0" xfId="2" applyFont="1" applyFill="1" applyAlignment="1">
      <alignment horizontal="right"/>
    </xf>
    <xf numFmtId="164" fontId="53" fillId="0" borderId="25" xfId="1" quotePrefix="1" applyNumberFormat="1" applyFont="1" applyFill="1" applyBorder="1" applyAlignment="1">
      <alignment horizontal="right"/>
    </xf>
    <xf numFmtId="165" fontId="53" fillId="0" borderId="5" xfId="1" quotePrefix="1" applyNumberFormat="1" applyFont="1" applyFill="1" applyBorder="1" applyAlignment="1">
      <alignment horizontal="right"/>
    </xf>
    <xf numFmtId="165" fontId="4" fillId="0" borderId="25" xfId="1" quotePrefix="1" applyNumberFormat="1" applyFont="1" applyFill="1" applyBorder="1" applyAlignment="1">
      <alignment horizontal="right"/>
    </xf>
    <xf numFmtId="164" fontId="59" fillId="0" borderId="0" xfId="2" applyNumberFormat="1" applyFont="1" applyFill="1" applyAlignment="1">
      <alignment horizontal="right"/>
    </xf>
    <xf numFmtId="166" fontId="59"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58" fillId="0" borderId="5" xfId="1" applyFont="1" applyFill="1" applyBorder="1" applyAlignment="1">
      <alignment horizontal="right"/>
    </xf>
    <xf numFmtId="43" fontId="60" fillId="0" borderId="5" xfId="1" applyFont="1" applyFill="1" applyBorder="1" applyAlignment="1">
      <alignment horizontal="right"/>
    </xf>
    <xf numFmtId="165" fontId="4" fillId="0" borderId="0" xfId="1" applyNumberFormat="1" applyFont="1" applyFill="1"/>
    <xf numFmtId="43" fontId="4" fillId="0" borderId="0" xfId="1" applyFont="1"/>
    <xf numFmtId="9" fontId="58" fillId="0" borderId="0" xfId="2" applyFont="1" applyFill="1" applyAlignment="1">
      <alignment horizontal="left"/>
    </xf>
    <xf numFmtId="164" fontId="4" fillId="0" borderId="0" xfId="1" applyNumberFormat="1" applyFont="1" applyFill="1" applyAlignment="1">
      <alignment horizontal="right"/>
    </xf>
    <xf numFmtId="10" fontId="58" fillId="0" borderId="5" xfId="2" applyNumberFormat="1" applyFont="1" applyBorder="1" applyAlignment="1">
      <alignment horizontal="right"/>
    </xf>
    <xf numFmtId="165" fontId="59" fillId="0" borderId="5" xfId="1" quotePrefix="1" applyNumberFormat="1" applyFont="1" applyFill="1" applyBorder="1" applyAlignment="1">
      <alignment horizontal="right"/>
    </xf>
    <xf numFmtId="166" fontId="71" fillId="0" borderId="0" xfId="2" applyNumberFormat="1" applyFont="1" applyFill="1" applyAlignment="1">
      <alignment horizontal="right"/>
    </xf>
    <xf numFmtId="166" fontId="58" fillId="0" borderId="25" xfId="2" quotePrefix="1" applyNumberFormat="1" applyFont="1" applyFill="1" applyBorder="1" applyAlignment="1">
      <alignment horizontal="right"/>
    </xf>
    <xf numFmtId="165" fontId="58" fillId="0" borderId="5" xfId="1" applyNumberFormat="1" applyFont="1" applyFill="1" applyBorder="1" applyAlignment="1">
      <alignment horizontal="right"/>
    </xf>
    <xf numFmtId="164" fontId="58" fillId="0" borderId="5" xfId="1" applyNumberFormat="1" applyFont="1" applyFill="1" applyBorder="1" applyAlignment="1">
      <alignment horizontal="right"/>
    </xf>
    <xf numFmtId="164" fontId="59" fillId="0" borderId="5" xfId="1" applyNumberFormat="1" applyFont="1" applyFill="1" applyBorder="1" applyAlignment="1">
      <alignment horizontal="right"/>
    </xf>
    <xf numFmtId="43" fontId="64" fillId="0" borderId="30" xfId="1" applyFont="1" applyFill="1" applyBorder="1" applyAlignment="1">
      <alignment horizontal="right"/>
    </xf>
    <xf numFmtId="164" fontId="60" fillId="0" borderId="5" xfId="1" applyNumberFormat="1" applyFont="1" applyFill="1" applyBorder="1" applyAlignment="1">
      <alignment horizontal="right"/>
    </xf>
    <xf numFmtId="43" fontId="59" fillId="0" borderId="5" xfId="1" applyFont="1" applyFill="1" applyBorder="1" applyAlignment="1">
      <alignment horizontal="right"/>
    </xf>
    <xf numFmtId="164" fontId="52" fillId="0" borderId="5" xfId="1" applyNumberFormat="1" applyFont="1" applyFill="1" applyBorder="1" applyAlignment="1">
      <alignment horizontal="right"/>
    </xf>
    <xf numFmtId="164" fontId="67" fillId="0" borderId="28" xfId="1" applyNumberFormat="1" applyFont="1" applyFill="1" applyBorder="1" applyAlignment="1">
      <alignment horizontal="right"/>
    </xf>
    <xf numFmtId="164" fontId="64" fillId="0" borderId="25" xfId="1" applyNumberFormat="1" applyFont="1" applyFill="1" applyBorder="1" applyAlignment="1">
      <alignment horizontal="right"/>
    </xf>
    <xf numFmtId="164" fontId="68" fillId="0" borderId="28" xfId="1" applyNumberFormat="1" applyFont="1" applyFill="1" applyBorder="1" applyAlignment="1">
      <alignment horizontal="right"/>
    </xf>
    <xf numFmtId="9" fontId="58" fillId="0" borderId="0" xfId="2" applyFont="1" applyBorder="1" applyAlignment="1">
      <alignment horizontal="right"/>
    </xf>
    <xf numFmtId="0" fontId="58" fillId="0" borderId="3" xfId="0" applyFont="1" applyBorder="1" applyAlignment="1">
      <alignment horizontal="left" indent="1"/>
    </xf>
    <xf numFmtId="0" fontId="71" fillId="0" borderId="3" xfId="0" applyFont="1" applyBorder="1" applyAlignment="1">
      <alignment horizontal="left" indent="2"/>
    </xf>
    <xf numFmtId="0" fontId="71" fillId="0" borderId="4" xfId="0" applyFont="1" applyBorder="1" applyAlignment="1">
      <alignment horizontal="left" indent="2"/>
    </xf>
    <xf numFmtId="0" fontId="72" fillId="0" borderId="0" xfId="0" applyFont="1" applyAlignment="1">
      <alignment horizontal="left" indent="1"/>
    </xf>
    <xf numFmtId="0" fontId="72" fillId="0" borderId="0" xfId="0" applyFont="1"/>
    <xf numFmtId="0" fontId="71" fillId="0" borderId="4" xfId="0" applyFont="1" applyBorder="1" applyAlignment="1">
      <alignment horizontal="left" indent="1"/>
    </xf>
    <xf numFmtId="166" fontId="71" fillId="0" borderId="5" xfId="2" applyNumberFormat="1" applyFont="1" applyFill="1" applyBorder="1" applyAlignment="1">
      <alignment horizontal="right"/>
    </xf>
    <xf numFmtId="166" fontId="71" fillId="0" borderId="0" xfId="2" applyNumberFormat="1" applyFont="1" applyAlignment="1">
      <alignment horizontal="right"/>
    </xf>
    <xf numFmtId="166" fontId="71" fillId="0" borderId="5" xfId="2" applyNumberFormat="1" applyFont="1" applyBorder="1" applyAlignment="1">
      <alignment horizontal="right"/>
    </xf>
    <xf numFmtId="166" fontId="71" fillId="9" borderId="0" xfId="2" applyNumberFormat="1" applyFont="1" applyFill="1" applyAlignment="1">
      <alignment horizontal="right"/>
    </xf>
    <xf numFmtId="0" fontId="72" fillId="0" borderId="4" xfId="0" applyFont="1" applyBorder="1"/>
    <xf numFmtId="165" fontId="59" fillId="0" borderId="5" xfId="1" quotePrefix="1" applyNumberFormat="1" applyFont="1" applyBorder="1" applyAlignment="1">
      <alignment horizontal="right"/>
    </xf>
    <xf numFmtId="165" fontId="59" fillId="0" borderId="28" xfId="1" quotePrefix="1" applyNumberFormat="1" applyFont="1" applyBorder="1" applyAlignment="1">
      <alignment horizontal="right"/>
    </xf>
    <xf numFmtId="164" fontId="60" fillId="0" borderId="5" xfId="1" quotePrefix="1" applyNumberFormat="1" applyFont="1" applyBorder="1" applyAlignment="1">
      <alignment horizontal="right"/>
    </xf>
    <xf numFmtId="164" fontId="59" fillId="0" borderId="5" xfId="2" applyNumberFormat="1" applyFont="1" applyBorder="1" applyAlignment="1">
      <alignment horizontal="right"/>
    </xf>
    <xf numFmtId="43" fontId="4" fillId="0" borderId="0" xfId="1" applyFont="1" applyFill="1"/>
    <xf numFmtId="9" fontId="63" fillId="0" borderId="0" xfId="2" applyFont="1" applyFill="1" applyAlignment="1">
      <alignment horizontal="right"/>
    </xf>
    <xf numFmtId="166" fontId="58" fillId="9" borderId="26" xfId="2" applyNumberFormat="1" applyFont="1" applyFill="1" applyBorder="1" applyAlignment="1">
      <alignment horizontal="right"/>
    </xf>
    <xf numFmtId="0" fontId="63" fillId="0" borderId="0" xfId="0" quotePrefix="1" applyFont="1"/>
    <xf numFmtId="166" fontId="58" fillId="0" borderId="25" xfId="2" applyNumberFormat="1" applyFont="1" applyBorder="1" applyAlignment="1">
      <alignment horizontal="right"/>
    </xf>
    <xf numFmtId="0" fontId="58" fillId="0" borderId="3" xfId="0" applyFont="1" applyBorder="1" applyAlignment="1">
      <alignment horizontal="left"/>
    </xf>
    <xf numFmtId="0" fontId="58" fillId="0" borderId="4" xfId="0" applyFont="1" applyBorder="1" applyAlignment="1">
      <alignment horizontal="left"/>
    </xf>
    <xf numFmtId="0" fontId="59" fillId="0" borderId="4" xfId="0" applyFont="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2"/>
    </xf>
    <xf numFmtId="0" fontId="59" fillId="0" borderId="3" xfId="0" applyFont="1" applyBorder="1" applyAlignment="1">
      <alignment horizontal="left" indent="3"/>
    </xf>
    <xf numFmtId="0" fontId="58" fillId="0" borderId="3" xfId="0" applyFont="1" applyBorder="1" applyAlignment="1">
      <alignment horizontal="left" indent="4"/>
    </xf>
    <xf numFmtId="9" fontId="58" fillId="0" borderId="7" xfId="2" applyFont="1" applyFill="1" applyBorder="1" applyAlignment="1">
      <alignment horizontal="right"/>
    </xf>
    <xf numFmtId="165" fontId="58" fillId="0" borderId="8" xfId="1" applyNumberFormat="1" applyFont="1" applyFill="1" applyBorder="1" applyAlignment="1">
      <alignment horizontal="right"/>
    </xf>
    <xf numFmtId="164" fontId="59" fillId="0" borderId="25" xfId="1" quotePrefix="1" applyNumberFormat="1" applyFont="1" applyFill="1" applyBorder="1" applyAlignment="1">
      <alignment horizontal="right"/>
    </xf>
    <xf numFmtId="164" fontId="60" fillId="0" borderId="5" xfId="1" quotePrefix="1" applyNumberFormat="1" applyFont="1" applyFill="1" applyBorder="1" applyAlignment="1">
      <alignment horizontal="right"/>
    </xf>
    <xf numFmtId="10" fontId="58" fillId="0" borderId="0" xfId="2" applyNumberFormat="1" applyFont="1" applyAlignment="1">
      <alignment horizontal="right"/>
    </xf>
    <xf numFmtId="9" fontId="4" fillId="0" borderId="0" xfId="2" applyFont="1" applyFill="1"/>
    <xf numFmtId="9" fontId="62" fillId="0" borderId="5" xfId="1" applyNumberFormat="1" applyFont="1" applyFill="1" applyBorder="1" applyAlignment="1">
      <alignment horizontal="right"/>
    </xf>
    <xf numFmtId="9" fontId="62" fillId="0" borderId="5" xfId="1" applyNumberFormat="1" applyFont="1" applyBorder="1" applyAlignment="1">
      <alignment horizontal="right"/>
    </xf>
    <xf numFmtId="167" fontId="71" fillId="10" borderId="0" xfId="1" applyNumberFormat="1" applyFont="1" applyFill="1" applyAlignment="1">
      <alignment horizontal="right"/>
    </xf>
    <xf numFmtId="0" fontId="58" fillId="0" borderId="23" xfId="0" applyFont="1" applyBorder="1" applyAlignment="1">
      <alignment horizontal="left" indent="2"/>
    </xf>
    <xf numFmtId="0" fontId="58" fillId="0" borderId="24" xfId="0" applyFont="1" applyBorder="1" applyAlignment="1">
      <alignment horizontal="left" indent="1"/>
    </xf>
    <xf numFmtId="9" fontId="58" fillId="0" borderId="27" xfId="2" applyFont="1" applyFill="1" applyBorder="1" applyAlignment="1">
      <alignment horizontal="right"/>
    </xf>
    <xf numFmtId="9" fontId="58" fillId="0" borderId="28" xfId="2" applyFont="1" applyFill="1" applyBorder="1" applyAlignment="1">
      <alignment horizontal="right"/>
    </xf>
    <xf numFmtId="9" fontId="58" fillId="0" borderId="27" xfId="2" applyFont="1" applyBorder="1" applyAlignment="1">
      <alignment horizontal="right"/>
    </xf>
    <xf numFmtId="9" fontId="58" fillId="0" borderId="28" xfId="2" applyFont="1" applyBorder="1" applyAlignment="1">
      <alignment horizontal="right"/>
    </xf>
    <xf numFmtId="9" fontId="62" fillId="0" borderId="0" xfId="1" applyNumberFormat="1" applyFont="1" applyFill="1" applyBorder="1" applyAlignment="1">
      <alignment horizontal="right"/>
    </xf>
    <xf numFmtId="9" fontId="62" fillId="0" borderId="0" xfId="1" applyNumberFormat="1" applyFont="1" applyBorder="1" applyAlignment="1">
      <alignment horizontal="right"/>
    </xf>
    <xf numFmtId="9" fontId="62" fillId="0" borderId="0" xfId="2" applyFont="1" applyBorder="1" applyAlignment="1">
      <alignment horizontal="right"/>
    </xf>
    <xf numFmtId="0" fontId="59" fillId="0" borderId="12" xfId="0" applyFont="1" applyBorder="1" applyAlignment="1">
      <alignment horizontal="left" indent="3"/>
    </xf>
    <xf numFmtId="0" fontId="59" fillId="0" borderId="13" xfId="0" applyFont="1" applyBorder="1" applyAlignment="1">
      <alignment horizontal="left" indent="1"/>
    </xf>
    <xf numFmtId="9" fontId="59" fillId="0" borderId="26" xfId="2" applyFont="1" applyFill="1" applyBorder="1" applyAlignment="1">
      <alignment horizontal="right"/>
    </xf>
    <xf numFmtId="9" fontId="59" fillId="0" borderId="25" xfId="2" applyFont="1" applyFill="1" applyBorder="1" applyAlignment="1">
      <alignment horizontal="right"/>
    </xf>
    <xf numFmtId="166" fontId="59" fillId="0" borderId="26" xfId="2" applyNumberFormat="1" applyFont="1" applyFill="1" applyBorder="1" applyAlignment="1">
      <alignment horizontal="right"/>
    </xf>
    <xf numFmtId="226" fontId="59" fillId="0" borderId="25" xfId="2" applyNumberFormat="1" applyFont="1" applyFill="1" applyBorder="1" applyAlignment="1">
      <alignment horizontal="right"/>
    </xf>
    <xf numFmtId="9" fontId="59" fillId="0" borderId="25" xfId="2" applyFont="1" applyBorder="1" applyAlignment="1">
      <alignment horizontal="right"/>
    </xf>
    <xf numFmtId="0" fontId="58" fillId="0" borderId="23" xfId="0" applyFont="1" applyBorder="1" applyAlignment="1">
      <alignment horizontal="left" indent="1"/>
    </xf>
    <xf numFmtId="0" fontId="71" fillId="0" borderId="0" xfId="0" applyFont="1"/>
    <xf numFmtId="0" fontId="72" fillId="0" borderId="0" xfId="0" applyFont="1" applyAlignment="1">
      <alignment horizontal="left"/>
    </xf>
    <xf numFmtId="43" fontId="58" fillId="0" borderId="0" xfId="1" applyFont="1" applyFill="1" applyBorder="1" applyAlignment="1">
      <alignment horizontal="right"/>
    </xf>
    <xf numFmtId="43" fontId="58" fillId="9" borderId="0" xfId="1" applyFont="1" applyFill="1" applyBorder="1" applyAlignment="1">
      <alignment horizontal="right"/>
    </xf>
    <xf numFmtId="9" fontId="4" fillId="0" borderId="0" xfId="2" applyFont="1"/>
    <xf numFmtId="9" fontId="58" fillId="0" borderId="6" xfId="2" applyFont="1" applyFill="1" applyBorder="1" applyAlignment="1">
      <alignment horizontal="left" indent="2"/>
    </xf>
    <xf numFmtId="9" fontId="58" fillId="0" borderId="10" xfId="2" applyFont="1" applyFill="1" applyBorder="1" applyAlignment="1">
      <alignment horizontal="left" indent="1"/>
    </xf>
    <xf numFmtId="9" fontId="59" fillId="0" borderId="8" xfId="2" applyFont="1" applyFill="1" applyBorder="1" applyAlignment="1">
      <alignment horizontal="right"/>
    </xf>
    <xf numFmtId="7" fontId="58" fillId="0" borderId="27" xfId="1" applyNumberFormat="1" applyFont="1" applyBorder="1" applyAlignment="1">
      <alignment horizontal="right"/>
    </xf>
    <xf numFmtId="7" fontId="4" fillId="0" borderId="28" xfId="1" applyNumberFormat="1" applyFont="1" applyBorder="1" applyAlignment="1">
      <alignment horizontal="right"/>
    </xf>
    <xf numFmtId="7" fontId="58" fillId="9" borderId="27" xfId="1" applyNumberFormat="1" applyFont="1" applyFill="1" applyBorder="1" applyAlignment="1">
      <alignment horizontal="right"/>
    </xf>
    <xf numFmtId="0" fontId="58" fillId="0" borderId="23" xfId="0" applyFont="1" applyBorder="1" applyAlignment="1">
      <alignment horizontal="left"/>
    </xf>
    <xf numFmtId="0" fontId="58" fillId="0" borderId="24" xfId="0" applyFont="1" applyBorder="1" applyAlignment="1">
      <alignment horizontal="left"/>
    </xf>
    <xf numFmtId="0" fontId="61" fillId="0" borderId="23" xfId="0" applyFont="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165" fontId="59" fillId="0" borderId="28" xfId="1" quotePrefix="1" applyNumberFormat="1" applyFont="1" applyFill="1" applyBorder="1" applyAlignment="1">
      <alignment horizontal="right"/>
    </xf>
    <xf numFmtId="166" fontId="73" fillId="0" borderId="5" xfId="2" quotePrefix="1" applyNumberFormat="1" applyFont="1" applyFill="1" applyBorder="1" applyAlignment="1">
      <alignment horizontal="right"/>
    </xf>
    <xf numFmtId="164" fontId="52" fillId="0" borderId="5" xfId="1" quotePrefix="1" applyNumberFormat="1" applyFont="1" applyFill="1" applyBorder="1" applyAlignment="1">
      <alignment horizontal="right"/>
    </xf>
    <xf numFmtId="9" fontId="4" fillId="0" borderId="5" xfId="2" applyFont="1" applyFill="1" applyBorder="1" applyAlignment="1">
      <alignment horizontal="right"/>
    </xf>
    <xf numFmtId="7" fontId="4" fillId="0" borderId="28"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29"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165" fontId="60" fillId="0" borderId="5" xfId="1" applyNumberFormat="1" applyFont="1" applyFill="1" applyBorder="1" applyAlignment="1">
      <alignment horizontal="right"/>
    </xf>
    <xf numFmtId="165" fontId="52" fillId="3" borderId="0" xfId="1" quotePrefix="1" applyNumberFormat="1" applyFont="1" applyFill="1" applyAlignment="1">
      <alignment horizontal="right"/>
    </xf>
    <xf numFmtId="165" fontId="52" fillId="3" borderId="5" xfId="1" quotePrefix="1" applyNumberFormat="1" applyFont="1" applyFill="1" applyBorder="1" applyAlignment="1">
      <alignment horizontal="right"/>
    </xf>
    <xf numFmtId="0" fontId="58" fillId="0" borderId="3" xfId="3" applyFont="1" applyBorder="1" applyAlignment="1">
      <alignment horizontal="left" vertical="top"/>
    </xf>
    <xf numFmtId="0" fontId="58" fillId="0" borderId="4" xfId="3" applyFont="1" applyBorder="1" applyAlignment="1">
      <alignment horizontal="left" vertical="top"/>
    </xf>
    <xf numFmtId="165" fontId="59" fillId="0" borderId="7" xfId="1" applyNumberFormat="1" applyFont="1" applyBorder="1" applyAlignment="1">
      <alignment horizontal="right"/>
    </xf>
    <xf numFmtId="165" fontId="59" fillId="0" borderId="8" xfId="1" applyNumberFormat="1" applyFont="1" applyBorder="1" applyAlignment="1">
      <alignment horizontal="right"/>
    </xf>
    <xf numFmtId="165" fontId="4" fillId="0" borderId="0" xfId="0" applyNumberFormat="1" applyFont="1" applyAlignment="1">
      <alignment horizontal="left"/>
    </xf>
    <xf numFmtId="43" fontId="53" fillId="0" borderId="0" xfId="0" applyNumberFormat="1" applyFont="1" applyAlignment="1">
      <alignment horizontal="left"/>
    </xf>
    <xf numFmtId="165" fontId="53" fillId="0" borderId="9" xfId="1" applyNumberFormat="1" applyFont="1" applyFill="1" applyBorder="1" applyAlignment="1">
      <alignment horizontal="right"/>
    </xf>
    <xf numFmtId="165" fontId="53" fillId="0" borderId="9" xfId="1" applyNumberFormat="1" applyFont="1" applyBorder="1" applyAlignment="1">
      <alignment horizontal="right"/>
    </xf>
    <xf numFmtId="0" fontId="74" fillId="0" borderId="4" xfId="0" applyFont="1" applyBorder="1" applyAlignment="1">
      <alignment horizontal="left"/>
    </xf>
    <xf numFmtId="165" fontId="58" fillId="0" borderId="0" xfId="1" quotePrefix="1" applyNumberFormat="1" applyFont="1" applyFill="1" applyAlignment="1">
      <alignment horizontal="right"/>
    </xf>
    <xf numFmtId="164" fontId="58" fillId="0" borderId="0" xfId="1" quotePrefix="1" applyNumberFormat="1" applyFont="1" applyAlignment="1">
      <alignment horizontal="right"/>
    </xf>
    <xf numFmtId="164" fontId="58" fillId="0" borderId="0" xfId="1" quotePrefix="1" applyNumberFormat="1" applyFont="1" applyFill="1" applyAlignment="1">
      <alignment horizontal="right"/>
    </xf>
    <xf numFmtId="164" fontId="58" fillId="9" borderId="0" xfId="1" quotePrefix="1" applyNumberFormat="1" applyFont="1" applyFill="1" applyAlignment="1">
      <alignment horizontal="right"/>
    </xf>
    <xf numFmtId="164" fontId="4" fillId="0" borderId="5" xfId="1" quotePrefix="1" applyNumberFormat="1" applyFont="1" applyBorder="1" applyAlignment="1">
      <alignment horizontal="right"/>
    </xf>
    <xf numFmtId="165" fontId="58" fillId="0" borderId="0" xfId="1" quotePrefix="1" applyNumberFormat="1" applyFont="1" applyAlignment="1">
      <alignment horizontal="right"/>
    </xf>
    <xf numFmtId="43" fontId="58" fillId="0" borderId="5" xfId="1" quotePrefix="1" applyFont="1" applyBorder="1" applyAlignment="1">
      <alignment horizontal="right"/>
    </xf>
    <xf numFmtId="166" fontId="58" fillId="0" borderId="0" xfId="2" quotePrefix="1" applyNumberFormat="1" applyFont="1" applyFill="1" applyAlignment="1">
      <alignment horizontal="right"/>
    </xf>
    <xf numFmtId="166" fontId="58" fillId="0" borderId="5" xfId="2" quotePrefix="1" applyNumberFormat="1" applyFont="1" applyBorder="1" applyAlignment="1">
      <alignment horizontal="right"/>
    </xf>
    <xf numFmtId="166" fontId="58" fillId="9" borderId="0" xfId="2" quotePrefix="1" applyNumberFormat="1" applyFont="1" applyFill="1" applyAlignment="1">
      <alignment horizontal="right"/>
    </xf>
    <xf numFmtId="166" fontId="58" fillId="9" borderId="4" xfId="2" applyNumberFormat="1" applyFont="1" applyFill="1" applyBorder="1" applyAlignment="1">
      <alignment horizontal="right"/>
    </xf>
    <xf numFmtId="166" fontId="58" fillId="0" borderId="0" xfId="2" quotePrefix="1" applyNumberFormat="1" applyFont="1" applyBorder="1" applyAlignment="1">
      <alignment horizontal="right"/>
    </xf>
    <xf numFmtId="166" fontId="58" fillId="0" borderId="0" xfId="2" applyNumberFormat="1" applyFont="1" applyFill="1" applyBorder="1" applyAlignment="1">
      <alignment horizontal="right"/>
    </xf>
    <xf numFmtId="166" fontId="58" fillId="0" borderId="0" xfId="2" quotePrefix="1" applyNumberFormat="1" applyFont="1" applyFill="1" applyBorder="1" applyAlignment="1">
      <alignment horizontal="right"/>
    </xf>
    <xf numFmtId="166" fontId="58" fillId="9" borderId="0" xfId="2" applyNumberFormat="1" applyFont="1" applyFill="1" applyBorder="1" applyAlignment="1">
      <alignment horizontal="right"/>
    </xf>
    <xf numFmtId="166" fontId="58" fillId="9" borderId="0" xfId="2" quotePrefix="1" applyNumberFormat="1" applyFont="1" applyFill="1" applyBorder="1" applyAlignment="1">
      <alignment horizontal="right"/>
    </xf>
    <xf numFmtId="166" fontId="4" fillId="0" borderId="5" xfId="2" quotePrefix="1" applyNumberFormat="1" applyFont="1" applyBorder="1" applyAlignment="1">
      <alignment horizontal="right"/>
    </xf>
    <xf numFmtId="0" fontId="75" fillId="0" borderId="23" xfId="0" applyFont="1" applyBorder="1" applyAlignment="1">
      <alignment horizontal="left"/>
    </xf>
    <xf numFmtId="166" fontId="58" fillId="0" borderId="27" xfId="2" quotePrefix="1" applyNumberFormat="1" applyFont="1" applyFill="1" applyBorder="1" applyAlignment="1">
      <alignment horizontal="right"/>
    </xf>
    <xf numFmtId="166" fontId="58" fillId="0" borderId="27" xfId="2" applyNumberFormat="1" applyFont="1" applyFill="1" applyBorder="1" applyAlignment="1">
      <alignment horizontal="right"/>
    </xf>
    <xf numFmtId="166" fontId="58" fillId="0" borderId="28" xfId="2" quotePrefix="1" applyNumberFormat="1" applyFont="1" applyFill="1" applyBorder="1" applyAlignment="1">
      <alignment horizontal="right"/>
    </xf>
    <xf numFmtId="166" fontId="4" fillId="0" borderId="28" xfId="2" quotePrefix="1" applyNumberFormat="1" applyFont="1" applyFill="1" applyBorder="1" applyAlignment="1">
      <alignment horizontal="right"/>
    </xf>
    <xf numFmtId="0" fontId="4" fillId="0" borderId="27" xfId="0" applyFont="1" applyBorder="1"/>
    <xf numFmtId="165" fontId="58" fillId="0" borderId="4" xfId="1" applyNumberFormat="1" applyFont="1" applyBorder="1" applyAlignment="1">
      <alignment horizontal="left"/>
    </xf>
    <xf numFmtId="165" fontId="58" fillId="0" borderId="0" xfId="1" quotePrefix="1" applyNumberFormat="1" applyFont="1" applyBorder="1" applyAlignment="1">
      <alignment horizontal="right"/>
    </xf>
    <xf numFmtId="165" fontId="58" fillId="0" borderId="0" xfId="1" quotePrefix="1" applyNumberFormat="1" applyFont="1" applyFill="1" applyBorder="1" applyAlignment="1">
      <alignment horizontal="right"/>
    </xf>
    <xf numFmtId="165" fontId="58" fillId="9" borderId="0" xfId="1" applyNumberFormat="1" applyFont="1" applyFill="1" applyBorder="1" applyAlignment="1">
      <alignment horizontal="right"/>
    </xf>
    <xf numFmtId="165" fontId="58" fillId="9" borderId="0" xfId="1" quotePrefix="1" applyNumberFormat="1" applyFont="1" applyFill="1" applyBorder="1" applyAlignment="1">
      <alignment horizontal="right"/>
    </xf>
    <xf numFmtId="165" fontId="4" fillId="0" borderId="0" xfId="1" applyNumberFormat="1" applyFont="1" applyBorder="1"/>
    <xf numFmtId="9" fontId="58" fillId="0" borderId="0" xfId="2" applyFont="1" applyFill="1" applyBorder="1" applyAlignment="1">
      <alignment horizontal="right"/>
    </xf>
    <xf numFmtId="165" fontId="59" fillId="0" borderId="0" xfId="1" quotePrefix="1" applyNumberFormat="1" applyFont="1" applyBorder="1" applyAlignment="1">
      <alignment horizontal="right"/>
    </xf>
    <xf numFmtId="164" fontId="59" fillId="0" borderId="0" xfId="1" quotePrefix="1" applyNumberFormat="1" applyFont="1" applyBorder="1" applyAlignment="1">
      <alignment horizontal="right"/>
    </xf>
    <xf numFmtId="227" fontId="59" fillId="0" borderId="5" xfId="1" quotePrefix="1" applyNumberFormat="1" applyFont="1" applyFill="1" applyBorder="1" applyAlignment="1">
      <alignment horizontal="right"/>
    </xf>
    <xf numFmtId="9" fontId="59" fillId="0" borderId="0" xfId="2" quotePrefix="1" applyFont="1" applyBorder="1" applyAlignment="1">
      <alignment horizontal="right"/>
    </xf>
    <xf numFmtId="0" fontId="58" fillId="0" borderId="3" xfId="0" applyFont="1" applyBorder="1"/>
    <xf numFmtId="0" fontId="58" fillId="0" borderId="0" xfId="0" applyFont="1" applyAlignment="1">
      <alignment horizontal="right"/>
    </xf>
    <xf numFmtId="43" fontId="58" fillId="0" borderId="0" xfId="1" quotePrefix="1" applyFont="1" applyBorder="1" applyAlignment="1">
      <alignment horizontal="right"/>
    </xf>
    <xf numFmtId="0" fontId="58" fillId="0" borderId="6" xfId="0" applyFont="1" applyBorder="1"/>
    <xf numFmtId="0" fontId="58" fillId="0" borderId="10" xfId="0" applyFont="1" applyBorder="1"/>
    <xf numFmtId="164" fontId="58" fillId="0" borderId="7" xfId="1" applyNumberFormat="1" applyFont="1" applyBorder="1" applyAlignment="1">
      <alignment horizontal="right"/>
    </xf>
    <xf numFmtId="0" fontId="58" fillId="0" borderId="7" xfId="0" applyFont="1" applyBorder="1" applyAlignment="1">
      <alignment horizontal="right"/>
    </xf>
    <xf numFmtId="43" fontId="58" fillId="0" borderId="7" xfId="1" quotePrefix="1" applyFont="1" applyBorder="1" applyAlignment="1">
      <alignment horizontal="right"/>
    </xf>
    <xf numFmtId="165" fontId="58" fillId="0" borderId="8" xfId="0" applyNumberFormat="1" applyFont="1" applyBorder="1" applyAlignment="1">
      <alignment horizontal="right"/>
    </xf>
    <xf numFmtId="165" fontId="4" fillId="0" borderId="5" xfId="1" applyNumberFormat="1" applyFont="1" applyBorder="1" applyAlignment="1">
      <alignment horizontal="right"/>
    </xf>
    <xf numFmtId="165" fontId="4" fillId="0" borderId="0" xfId="1" applyNumberFormat="1" applyFont="1" applyAlignment="1">
      <alignment horizontal="left"/>
    </xf>
    <xf numFmtId="0" fontId="58" fillId="0" borderId="12" xfId="0" applyFont="1" applyBorder="1"/>
    <xf numFmtId="0" fontId="58" fillId="0" borderId="13" xfId="0" applyFont="1" applyBorder="1"/>
    <xf numFmtId="165" fontId="58" fillId="11" borderId="27" xfId="1" applyNumberFormat="1" applyFont="1" applyFill="1" applyBorder="1" applyAlignment="1">
      <alignment horizontal="right"/>
    </xf>
    <xf numFmtId="165" fontId="4" fillId="11" borderId="27" xfId="1" applyNumberFormat="1" applyFont="1" applyFill="1" applyBorder="1" applyAlignment="1">
      <alignment horizontal="left"/>
    </xf>
    <xf numFmtId="165" fontId="4" fillId="11" borderId="27" xfId="1" applyNumberFormat="1" applyFont="1" applyFill="1" applyBorder="1" applyAlignment="1">
      <alignment horizontal="right"/>
    </xf>
    <xf numFmtId="165" fontId="58" fillId="11" borderId="28" xfId="1" applyNumberFormat="1" applyFont="1" applyFill="1" applyBorder="1" applyAlignment="1">
      <alignment horizontal="right"/>
    </xf>
    <xf numFmtId="0" fontId="58" fillId="11" borderId="3" xfId="0" applyFont="1" applyFill="1" applyBorder="1" applyAlignment="1">
      <alignment horizontal="left"/>
    </xf>
    <xf numFmtId="0" fontId="58" fillId="11" borderId="4" xfId="0" applyFont="1" applyFill="1" applyBorder="1" applyAlignment="1">
      <alignment horizontal="left"/>
    </xf>
    <xf numFmtId="165" fontId="58" fillId="11" borderId="0" xfId="1" applyNumberFormat="1" applyFont="1" applyFill="1" applyAlignment="1">
      <alignment horizontal="right"/>
    </xf>
    <xf numFmtId="165" fontId="58" fillId="11" borderId="5" xfId="1" applyNumberFormat="1" applyFont="1" applyFill="1" applyBorder="1" applyAlignment="1">
      <alignment horizontal="right"/>
    </xf>
    <xf numFmtId="165" fontId="60" fillId="11" borderId="0" xfId="1" applyNumberFormat="1" applyFont="1" applyFill="1" applyAlignment="1">
      <alignment horizontal="right"/>
    </xf>
    <xf numFmtId="165" fontId="60" fillId="11" borderId="5" xfId="1" applyNumberFormat="1" applyFont="1" applyFill="1" applyBorder="1" applyAlignment="1">
      <alignment horizontal="right"/>
    </xf>
    <xf numFmtId="165" fontId="59" fillId="11" borderId="0" xfId="1" applyNumberFormat="1" applyFont="1" applyFill="1" applyAlignment="1">
      <alignment horizontal="right"/>
    </xf>
    <xf numFmtId="165" fontId="59" fillId="11" borderId="5" xfId="1" applyNumberFormat="1" applyFont="1" applyFill="1" applyBorder="1" applyAlignment="1">
      <alignment horizontal="right"/>
    </xf>
    <xf numFmtId="165" fontId="58" fillId="0" borderId="27" xfId="1" applyNumberFormat="1" applyFont="1" applyBorder="1" applyAlignment="1">
      <alignment horizontal="right"/>
    </xf>
    <xf numFmtId="165" fontId="4" fillId="0" borderId="27" xfId="1" applyNumberFormat="1" applyFont="1" applyBorder="1" applyAlignment="1">
      <alignment horizontal="right"/>
    </xf>
    <xf numFmtId="165" fontId="4" fillId="0" borderId="28" xfId="1" applyNumberFormat="1" applyFont="1" applyBorder="1" applyAlignment="1">
      <alignment horizontal="right"/>
    </xf>
    <xf numFmtId="165" fontId="4" fillId="0" borderId="27" xfId="1" applyNumberFormat="1" applyFont="1" applyFill="1" applyBorder="1" applyAlignment="1">
      <alignment horizontal="right"/>
    </xf>
    <xf numFmtId="165" fontId="58" fillId="0" borderId="28" xfId="1" applyNumberFormat="1" applyFont="1" applyBorder="1" applyAlignment="1">
      <alignment horizontal="right"/>
    </xf>
    <xf numFmtId="0" fontId="58" fillId="11" borderId="0" xfId="0" applyFont="1" applyFill="1" applyAlignment="1">
      <alignment horizontal="left"/>
    </xf>
    <xf numFmtId="0" fontId="61" fillId="11" borderId="4" xfId="0" applyFont="1" applyFill="1" applyBorder="1" applyAlignment="1">
      <alignment horizontal="left"/>
    </xf>
    <xf numFmtId="165" fontId="58" fillId="0" borderId="27" xfId="1" applyNumberFormat="1" applyFont="1" applyFill="1" applyBorder="1" applyAlignment="1">
      <alignment horizontal="right"/>
    </xf>
    <xf numFmtId="165" fontId="58" fillId="9" borderId="27" xfId="1" applyNumberFormat="1" applyFont="1" applyFill="1" applyBorder="1" applyAlignment="1">
      <alignment horizontal="right"/>
    </xf>
    <xf numFmtId="165" fontId="59" fillId="11" borderId="28" xfId="1" applyNumberFormat="1" applyFont="1" applyFill="1" applyBorder="1" applyAlignment="1">
      <alignment horizontal="right"/>
    </xf>
    <xf numFmtId="165" fontId="4" fillId="11" borderId="0" xfId="1" applyNumberFormat="1" applyFont="1" applyFill="1" applyAlignment="1">
      <alignment horizontal="right"/>
    </xf>
    <xf numFmtId="165" fontId="58" fillId="11" borderId="26" xfId="1" applyNumberFormat="1" applyFont="1" applyFill="1" applyBorder="1" applyAlignment="1">
      <alignment horizontal="right"/>
    </xf>
    <xf numFmtId="165" fontId="58" fillId="11" borderId="25" xfId="1" applyNumberFormat="1" applyFont="1" applyFill="1" applyBorder="1" applyAlignment="1">
      <alignment horizontal="right"/>
    </xf>
    <xf numFmtId="43" fontId="58" fillId="0" borderId="7" xfId="1" applyFont="1" applyBorder="1" applyAlignment="1">
      <alignment horizontal="right"/>
    </xf>
    <xf numFmtId="43" fontId="58" fillId="0" borderId="8" xfId="1" applyFont="1" applyBorder="1" applyAlignment="1">
      <alignment horizontal="right"/>
    </xf>
    <xf numFmtId="165" fontId="4" fillId="0" borderId="2" xfId="1" applyNumberFormat="1" applyFont="1" applyBorder="1" applyAlignment="1">
      <alignment horizontal="right"/>
    </xf>
    <xf numFmtId="164" fontId="76" fillId="0" borderId="0" xfId="1" quotePrefix="1" applyNumberFormat="1" applyFont="1" applyAlignment="1">
      <alignment horizontal="right"/>
    </xf>
    <xf numFmtId="164" fontId="76" fillId="0" borderId="5" xfId="1" quotePrefix="1" applyNumberFormat="1" applyFont="1" applyBorder="1" applyAlignment="1">
      <alignment horizontal="right"/>
    </xf>
    <xf numFmtId="166" fontId="58" fillId="0" borderId="0" xfId="2" quotePrefix="1" applyNumberFormat="1" applyFont="1" applyAlignment="1">
      <alignment horizontal="right"/>
    </xf>
    <xf numFmtId="9" fontId="58" fillId="0" borderId="0" xfId="2" quotePrefix="1" applyFont="1" applyAlignment="1">
      <alignment horizontal="right"/>
    </xf>
    <xf numFmtId="9" fontId="58" fillId="0" borderId="5" xfId="2" quotePrefix="1" applyFont="1" applyBorder="1" applyAlignment="1">
      <alignment horizontal="right"/>
    </xf>
    <xf numFmtId="9" fontId="58" fillId="0" borderId="0" xfId="2" quotePrefix="1" applyFont="1" applyFill="1" applyAlignment="1">
      <alignment horizontal="right"/>
    </xf>
    <xf numFmtId="9" fontId="58" fillId="9" borderId="0" xfId="2" quotePrefix="1" applyFont="1" applyFill="1" applyAlignment="1">
      <alignment horizontal="right"/>
    </xf>
    <xf numFmtId="0" fontId="4" fillId="0" borderId="4" xfId="0" applyFont="1" applyBorder="1" applyAlignment="1">
      <alignment horizontal="left"/>
    </xf>
    <xf numFmtId="10" fontId="60" fillId="0" borderId="5" xfId="2" applyNumberFormat="1" applyFont="1" applyFill="1" applyBorder="1" applyAlignment="1">
      <alignment horizontal="right"/>
    </xf>
    <xf numFmtId="164" fontId="58" fillId="0" borderId="0" xfId="2" applyNumberFormat="1" applyFont="1" applyFill="1" applyAlignment="1">
      <alignment horizontal="right"/>
    </xf>
    <xf numFmtId="10" fontId="4" fillId="0" borderId="5" xfId="2" quotePrefix="1" applyNumberFormat="1" applyFont="1" applyFill="1" applyBorder="1" applyAlignment="1">
      <alignment horizontal="right"/>
    </xf>
    <xf numFmtId="164" fontId="58" fillId="9" borderId="0" xfId="2" applyNumberFormat="1" applyFont="1" applyFill="1" applyAlignment="1">
      <alignment horizontal="right"/>
    </xf>
    <xf numFmtId="164" fontId="59" fillId="0" borderId="25" xfId="1" applyNumberFormat="1" applyFont="1" applyFill="1" applyBorder="1" applyAlignment="1">
      <alignment horizontal="right"/>
    </xf>
    <xf numFmtId="165" fontId="62" fillId="0" borderId="5" xfId="1" applyNumberFormat="1" applyFont="1" applyBorder="1" applyAlignment="1">
      <alignment horizontal="right"/>
    </xf>
    <xf numFmtId="9" fontId="58" fillId="0" borderId="5" xfId="2" quotePrefix="1" applyFont="1" applyFill="1" applyBorder="1" applyAlignment="1">
      <alignment horizontal="right"/>
    </xf>
    <xf numFmtId="0" fontId="4" fillId="0" borderId="10" xfId="0" applyFont="1" applyBorder="1" applyAlignment="1">
      <alignment horizontal="left"/>
    </xf>
    <xf numFmtId="165" fontId="58" fillId="0" borderId="7" xfId="1" quotePrefix="1" applyNumberFormat="1" applyFont="1" applyFill="1" applyBorder="1" applyAlignment="1">
      <alignment horizontal="right"/>
    </xf>
    <xf numFmtId="165" fontId="58" fillId="0" borderId="7" xfId="1" applyNumberFormat="1" applyFont="1" applyFill="1" applyBorder="1" applyAlignment="1">
      <alignment horizontal="right"/>
    </xf>
    <xf numFmtId="165" fontId="58" fillId="0" borderId="8" xfId="1" quotePrefix="1" applyNumberFormat="1" applyFont="1" applyFill="1" applyBorder="1" applyAlignment="1">
      <alignment horizontal="right"/>
    </xf>
    <xf numFmtId="165" fontId="59" fillId="0" borderId="8" xfId="1" quotePrefix="1" applyNumberFormat="1" applyFont="1" applyFill="1" applyBorder="1" applyAlignment="1">
      <alignment horizontal="right"/>
    </xf>
    <xf numFmtId="9" fontId="73" fillId="0" borderId="0" xfId="2" applyFont="1" applyFill="1"/>
    <xf numFmtId="9" fontId="73" fillId="0" borderId="0" xfId="2" applyFont="1" applyFill="1" applyAlignment="1">
      <alignment horizontal="right"/>
    </xf>
    <xf numFmtId="165" fontId="63" fillId="0" borderId="0" xfId="2" applyNumberFormat="1" applyFont="1" applyAlignment="1">
      <alignment horizontal="right"/>
    </xf>
    <xf numFmtId="166" fontId="63" fillId="0" borderId="0" xfId="2" applyNumberFormat="1" applyFont="1" applyFill="1" applyAlignment="1">
      <alignment horizontal="right"/>
    </xf>
    <xf numFmtId="10" fontId="73" fillId="0" borderId="0" xfId="2" applyNumberFormat="1" applyFont="1" applyFill="1"/>
    <xf numFmtId="43" fontId="4" fillId="0" borderId="25" xfId="1" quotePrefix="1" applyFont="1" applyBorder="1" applyAlignment="1">
      <alignment horizontal="right"/>
    </xf>
    <xf numFmtId="9" fontId="59" fillId="0" borderId="5" xfId="2" quotePrefix="1" applyFont="1" applyBorder="1" applyAlignment="1">
      <alignment horizontal="right"/>
    </xf>
    <xf numFmtId="167" fontId="58" fillId="0" borderId="28" xfId="1" applyNumberFormat="1" applyFont="1" applyBorder="1" applyAlignment="1">
      <alignment horizontal="right"/>
    </xf>
    <xf numFmtId="166" fontId="59" fillId="0" borderId="5" xfId="2" applyNumberFormat="1" applyFont="1" applyFill="1" applyBorder="1" applyAlignment="1">
      <alignment horizontal="right"/>
    </xf>
    <xf numFmtId="43" fontId="4" fillId="0" borderId="5" xfId="1" quotePrefix="1" applyFont="1" applyBorder="1" applyAlignment="1">
      <alignment horizontal="right"/>
    </xf>
    <xf numFmtId="167" fontId="4" fillId="0" borderId="5" xfId="1" quotePrefix="1" applyNumberFormat="1" applyFont="1" applyBorder="1" applyAlignment="1">
      <alignment horizontal="right"/>
    </xf>
    <xf numFmtId="165" fontId="4" fillId="0" borderId="0" xfId="2" applyNumberFormat="1" applyFont="1" applyFill="1"/>
    <xf numFmtId="166" fontId="4" fillId="0" borderId="0" xfId="2" applyNumberFormat="1" applyFont="1" applyFill="1"/>
    <xf numFmtId="0" fontId="73" fillId="0" borderId="0" xfId="0" applyFont="1"/>
    <xf numFmtId="166" fontId="73" fillId="0" borderId="0" xfId="0" applyNumberFormat="1" applyFont="1" applyAlignment="1">
      <alignment horizontal="right"/>
    </xf>
    <xf numFmtId="166" fontId="73" fillId="0" borderId="0" xfId="2" applyNumberFormat="1" applyFont="1"/>
    <xf numFmtId="43" fontId="73" fillId="0" borderId="0" xfId="2" applyNumberFormat="1" applyFont="1" applyFill="1"/>
    <xf numFmtId="0" fontId="58" fillId="0" borderId="6" xfId="0" applyFont="1" applyBorder="1" applyAlignment="1">
      <alignment horizontal="left" indent="1"/>
    </xf>
    <xf numFmtId="165" fontId="58" fillId="0" borderId="5" xfId="0" applyNumberFormat="1" applyFont="1" applyBorder="1" applyAlignment="1">
      <alignment horizontal="right"/>
    </xf>
    <xf numFmtId="165" fontId="58" fillId="9" borderId="5" xfId="0" applyNumberFormat="1" applyFont="1" applyFill="1" applyBorder="1" applyAlignment="1">
      <alignment horizontal="right"/>
    </xf>
    <xf numFmtId="43" fontId="73" fillId="0" borderId="0" xfId="1" applyFont="1" applyFill="1"/>
    <xf numFmtId="166" fontId="4" fillId="0" borderId="28" xfId="2" applyNumberFormat="1" applyFont="1" applyBorder="1" applyAlignment="1">
      <alignment horizontal="right"/>
    </xf>
    <xf numFmtId="166" fontId="73" fillId="0" borderId="0" xfId="2" applyNumberFormat="1" applyFont="1" applyFill="1"/>
    <xf numFmtId="43" fontId="63" fillId="0" borderId="0" xfId="1" applyFont="1" applyFill="1" applyAlignment="1">
      <alignment horizontal="right"/>
    </xf>
    <xf numFmtId="7" fontId="58" fillId="12" borderId="27" xfId="1" applyNumberFormat="1" applyFont="1" applyFill="1" applyBorder="1" applyAlignment="1">
      <alignment horizontal="right"/>
    </xf>
    <xf numFmtId="165" fontId="59" fillId="12" borderId="8" xfId="1" quotePrefix="1" applyNumberFormat="1" applyFont="1" applyFill="1" applyBorder="1" applyAlignment="1">
      <alignment horizontal="right"/>
    </xf>
    <xf numFmtId="0" fontId="58" fillId="0" borderId="1" xfId="0" applyFont="1" applyBorder="1"/>
    <xf numFmtId="0" fontId="4" fillId="0" borderId="2" xfId="0" applyFont="1" applyBorder="1"/>
    <xf numFmtId="164" fontId="4" fillId="0" borderId="2" xfId="1" applyNumberFormat="1" applyFont="1" applyBorder="1" applyAlignment="1">
      <alignment horizontal="right"/>
    </xf>
    <xf numFmtId="0" fontId="4" fillId="0" borderId="2" xfId="0" applyFont="1" applyBorder="1" applyAlignment="1">
      <alignment horizontal="right"/>
    </xf>
    <xf numFmtId="164" fontId="4" fillId="0" borderId="0" xfId="1" applyNumberFormat="1" applyFont="1" applyBorder="1" applyAlignment="1">
      <alignment horizontal="right"/>
    </xf>
    <xf numFmtId="0" fontId="4" fillId="0" borderId="7" xfId="0" applyFont="1" applyBorder="1"/>
    <xf numFmtId="164" fontId="4" fillId="0" borderId="7" xfId="1" applyNumberFormat="1" applyFont="1" applyBorder="1" applyAlignment="1">
      <alignment horizontal="right"/>
    </xf>
    <xf numFmtId="0" fontId="4" fillId="0" borderId="7" xfId="0" applyFont="1" applyBorder="1" applyAlignment="1">
      <alignment horizontal="right"/>
    </xf>
    <xf numFmtId="166" fontId="58" fillId="0" borderId="29" xfId="2" applyNumberFormat="1" applyFont="1" applyBorder="1" applyAlignment="1">
      <alignment horizontal="right"/>
    </xf>
    <xf numFmtId="166" fontId="58" fillId="12" borderId="8" xfId="0" applyNumberFormat="1" applyFont="1" applyFill="1" applyBorder="1" applyAlignment="1">
      <alignment horizontal="right"/>
    </xf>
    <xf numFmtId="227" fontId="59" fillId="12" borderId="5" xfId="1" quotePrefix="1" applyNumberFormat="1" applyFont="1" applyFill="1" applyBorder="1" applyAlignment="1">
      <alignment horizontal="right"/>
    </xf>
    <xf numFmtId="166" fontId="58" fillId="12" borderId="5" xfId="2" applyNumberFormat="1" applyFont="1" applyFill="1" applyBorder="1" applyAlignment="1">
      <alignment horizontal="right"/>
    </xf>
    <xf numFmtId="43" fontId="58" fillId="0" borderId="0" xfId="1" applyFont="1" applyAlignment="1">
      <alignment horizontal="right"/>
    </xf>
    <xf numFmtId="225" fontId="58" fillId="0" borderId="0" xfId="1" applyNumberFormat="1" applyFont="1" applyAlignment="1">
      <alignment horizontal="right"/>
    </xf>
    <xf numFmtId="0" fontId="58" fillId="0" borderId="2" xfId="0" applyFont="1" applyBorder="1"/>
    <xf numFmtId="164" fontId="58" fillId="0" borderId="2" xfId="1" applyNumberFormat="1" applyFont="1" applyBorder="1" applyAlignment="1">
      <alignment horizontal="right"/>
    </xf>
    <xf numFmtId="0" fontId="58" fillId="0" borderId="2" xfId="0" applyFont="1" applyBorder="1" applyAlignment="1">
      <alignment horizontal="right"/>
    </xf>
    <xf numFmtId="0" fontId="58" fillId="0" borderId="11" xfId="0" applyFont="1" applyBorder="1" applyAlignment="1">
      <alignment horizontal="right"/>
    </xf>
    <xf numFmtId="0" fontId="58" fillId="0" borderId="7" xfId="0" applyFont="1" applyBorder="1"/>
    <xf numFmtId="0" fontId="58" fillId="0" borderId="10" xfId="0" applyFont="1" applyBorder="1" applyAlignment="1">
      <alignment horizontal="right"/>
    </xf>
    <xf numFmtId="43" fontId="64" fillId="12" borderId="30" xfId="1" applyFont="1" applyFill="1" applyBorder="1" applyAlignment="1">
      <alignment horizontal="right"/>
    </xf>
    <xf numFmtId="2" fontId="58" fillId="12" borderId="29" xfId="0" applyNumberFormat="1" applyFont="1" applyFill="1" applyBorder="1" applyAlignment="1">
      <alignment horizontal="right"/>
    </xf>
    <xf numFmtId="2" fontId="58" fillId="12" borderId="8" xfId="0" applyNumberFormat="1" applyFont="1" applyFill="1" applyBorder="1" applyAlignment="1">
      <alignment horizontal="right"/>
    </xf>
    <xf numFmtId="165" fontId="58" fillId="12" borderId="5" xfId="1" applyNumberFormat="1" applyFont="1" applyFill="1" applyBorder="1" applyAlignment="1">
      <alignment horizontal="right"/>
    </xf>
    <xf numFmtId="43" fontId="64" fillId="12" borderId="32" xfId="1" applyFont="1" applyFill="1" applyBorder="1" applyAlignment="1">
      <alignment horizontal="right"/>
    </xf>
    <xf numFmtId="166" fontId="58" fillId="12" borderId="0" xfId="2" applyNumberFormat="1" applyFont="1" applyFill="1" applyAlignment="1">
      <alignment horizontal="right"/>
    </xf>
    <xf numFmtId="227" fontId="58" fillId="0" borderId="4" xfId="1" applyNumberFormat="1" applyFont="1" applyFill="1" applyBorder="1" applyAlignment="1">
      <alignment horizontal="right"/>
    </xf>
    <xf numFmtId="43" fontId="60" fillId="0" borderId="4" xfId="1" quotePrefix="1" applyFont="1" applyBorder="1" applyAlignment="1">
      <alignment horizontal="right"/>
    </xf>
    <xf numFmtId="0" fontId="59" fillId="0" borderId="6" xfId="0" applyFont="1" applyBorder="1"/>
    <xf numFmtId="228" fontId="59" fillId="0" borderId="10" xfId="1" applyNumberFormat="1" applyFont="1" applyBorder="1" applyAlignment="1">
      <alignment horizontal="right"/>
    </xf>
    <xf numFmtId="229" fontId="58" fillId="0" borderId="4" xfId="2" applyNumberFormat="1" applyFont="1" applyFill="1" applyBorder="1" applyAlignment="1">
      <alignment horizontal="right"/>
    </xf>
    <xf numFmtId="229" fontId="58" fillId="0" borderId="4" xfId="1" applyNumberFormat="1" applyFont="1" applyFill="1" applyBorder="1" applyAlignment="1">
      <alignment horizontal="right"/>
    </xf>
    <xf numFmtId="229" fontId="58" fillId="9" borderId="4" xfId="1" applyNumberFormat="1" applyFont="1" applyFill="1" applyBorder="1" applyAlignment="1">
      <alignment horizontal="right"/>
    </xf>
    <xf numFmtId="166" fontId="58" fillId="0" borderId="8" xfId="2" applyNumberFormat="1" applyFont="1" applyBorder="1" applyAlignment="1">
      <alignment horizontal="right"/>
    </xf>
    <xf numFmtId="230" fontId="58" fillId="0" borderId="0" xfId="0" applyNumberFormat="1" applyFont="1"/>
    <xf numFmtId="43" fontId="4" fillId="0" borderId="0" xfId="1" applyFont="1" applyAlignment="1">
      <alignment horizontal="right"/>
    </xf>
    <xf numFmtId="0" fontId="57" fillId="0" borderId="4" xfId="0" applyFont="1" applyBorder="1" applyAlignment="1">
      <alignment horizontal="center" wrapText="1"/>
    </xf>
    <xf numFmtId="0" fontId="56" fillId="2" borderId="1" xfId="0" applyFont="1" applyFill="1" applyBorder="1" applyAlignment="1">
      <alignment horizontal="left"/>
    </xf>
    <xf numFmtId="0" fontId="56" fillId="2" borderId="11" xfId="0" applyFont="1" applyFill="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3" xfId="0" applyFont="1" applyBorder="1" applyAlignment="1">
      <alignment horizontal="left" indent="2"/>
    </xf>
    <xf numFmtId="0" fontId="58" fillId="0" borderId="4" xfId="0" applyFont="1" applyBorder="1" applyAlignment="1">
      <alignment horizontal="left" indent="2"/>
    </xf>
    <xf numFmtId="0" fontId="58" fillId="0" borderId="3" xfId="0" applyFont="1" applyBorder="1" applyAlignment="1">
      <alignment horizontal="left" indent="5"/>
    </xf>
    <xf numFmtId="0" fontId="58" fillId="0" borderId="4" xfId="0" applyFont="1" applyBorder="1" applyAlignment="1">
      <alignment horizontal="left" indent="5"/>
    </xf>
    <xf numFmtId="0" fontId="59" fillId="0" borderId="3" xfId="0" applyFont="1" applyBorder="1" applyAlignment="1">
      <alignment horizontal="left" indent="3"/>
    </xf>
    <xf numFmtId="0" fontId="59" fillId="0" borderId="4" xfId="0" applyFont="1" applyBorder="1" applyAlignment="1">
      <alignment horizontal="left" indent="3"/>
    </xf>
    <xf numFmtId="0" fontId="58" fillId="0" borderId="3" xfId="0" applyFont="1" applyBorder="1" applyAlignment="1">
      <alignment horizontal="left" indent="4"/>
    </xf>
    <xf numFmtId="0" fontId="58" fillId="0" borderId="4" xfId="0" applyFont="1" applyBorder="1" applyAlignment="1">
      <alignment horizontal="left" indent="4"/>
    </xf>
    <xf numFmtId="0" fontId="56" fillId="2" borderId="3" xfId="0" applyFont="1" applyFill="1" applyBorder="1" applyAlignment="1">
      <alignment horizontal="left"/>
    </xf>
    <xf numFmtId="0" fontId="56"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0" borderId="12" xfId="0" applyFont="1" applyBorder="1" applyAlignment="1">
      <alignment horizontal="left"/>
    </xf>
    <xf numFmtId="0" fontId="59" fillId="0" borderId="13"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left"/>
    </xf>
    <xf numFmtId="0" fontId="59" fillId="0" borderId="12" xfId="0" applyFont="1" applyBorder="1" applyAlignment="1">
      <alignment horizontal="left" indent="2"/>
    </xf>
    <xf numFmtId="0" fontId="59" fillId="0" borderId="13" xfId="0" applyFont="1" applyBorder="1" applyAlignment="1">
      <alignment horizontal="left" indent="2"/>
    </xf>
    <xf numFmtId="0" fontId="58" fillId="0" borderId="3" xfId="0" applyFont="1" applyBorder="1" applyAlignment="1">
      <alignment horizontal="left" indent="1"/>
    </xf>
    <xf numFmtId="0" fontId="58" fillId="0" borderId="4" xfId="0" applyFont="1" applyBorder="1" applyAlignment="1">
      <alignment horizontal="left" indent="1"/>
    </xf>
    <xf numFmtId="0" fontId="0" fillId="0" borderId="3" xfId="0" applyBorder="1" applyAlignment="1">
      <alignment horizontal="left"/>
    </xf>
    <xf numFmtId="0" fontId="1" fillId="0" borderId="4" xfId="0" applyFont="1" applyBorder="1" applyAlignment="1">
      <alignment horizontal="left"/>
    </xf>
    <xf numFmtId="0" fontId="58" fillId="0" borderId="23" xfId="0" applyFont="1" applyBorder="1" applyAlignment="1">
      <alignment horizontal="left"/>
    </xf>
    <xf numFmtId="0" fontId="58" fillId="0" borderId="24" xfId="0" applyFont="1" applyBorder="1" applyAlignment="1">
      <alignment horizontal="left"/>
    </xf>
    <xf numFmtId="0" fontId="0" fillId="0" borderId="23" xfId="0" applyBorder="1" applyAlignment="1">
      <alignment horizontal="left"/>
    </xf>
    <xf numFmtId="0" fontId="1" fillId="0" borderId="2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59" fillId="0" borderId="6" xfId="0" applyFont="1" applyBorder="1" applyAlignment="1">
      <alignment horizontal="left" indent="2"/>
    </xf>
    <xf numFmtId="0" fontId="59" fillId="0" borderId="10" xfId="0" applyFont="1" applyBorder="1" applyAlignment="1">
      <alignment horizontal="left" indent="2"/>
    </xf>
    <xf numFmtId="0" fontId="59" fillId="0" borderId="3" xfId="0" applyFont="1" applyBorder="1" applyAlignment="1">
      <alignment horizontal="left" indent="2"/>
    </xf>
    <xf numFmtId="0" fontId="59" fillId="0" borderId="4" xfId="0" applyFont="1" applyBorder="1" applyAlignment="1">
      <alignment horizontal="left" indent="2"/>
    </xf>
    <xf numFmtId="0" fontId="58" fillId="0" borderId="3" xfId="3" applyFont="1" applyBorder="1" applyAlignment="1">
      <alignment horizontal="left" vertical="top"/>
    </xf>
    <xf numFmtId="0" fontId="58" fillId="0" borderId="4" xfId="3" applyFont="1" applyBorder="1" applyAlignment="1">
      <alignment horizontal="left" vertical="top"/>
    </xf>
    <xf numFmtId="0" fontId="58" fillId="11" borderId="3" xfId="0" applyFont="1" applyFill="1" applyBorder="1" applyAlignment="1">
      <alignment horizontal="left"/>
    </xf>
    <xf numFmtId="0" fontId="58" fillId="11" borderId="4" xfId="0" applyFont="1" applyFill="1" applyBorder="1" applyAlignment="1">
      <alignment horizontal="left"/>
    </xf>
    <xf numFmtId="0" fontId="61" fillId="11" borderId="23" xfId="0" applyFont="1" applyFill="1" applyBorder="1" applyAlignment="1">
      <alignment horizontal="left"/>
    </xf>
    <xf numFmtId="0" fontId="61" fillId="11" borderId="24" xfId="0" applyFont="1" applyFill="1" applyBorder="1" applyAlignment="1">
      <alignment horizontal="left"/>
    </xf>
    <xf numFmtId="0" fontId="59" fillId="11" borderId="3" xfId="0" applyFont="1" applyFill="1" applyBorder="1" applyAlignment="1">
      <alignment horizontal="left" indent="1"/>
    </xf>
    <xf numFmtId="0" fontId="59" fillId="11" borderId="4" xfId="0" applyFont="1" applyFill="1" applyBorder="1" applyAlignment="1">
      <alignment horizontal="left" indent="1"/>
    </xf>
    <xf numFmtId="0" fontId="59" fillId="0" borderId="3" xfId="0" applyFont="1" applyBorder="1" applyAlignment="1">
      <alignment horizontal="left"/>
    </xf>
    <xf numFmtId="0" fontId="59" fillId="0" borderId="4" xfId="0" applyFont="1" applyBorder="1" applyAlignment="1">
      <alignment horizontal="left"/>
    </xf>
    <xf numFmtId="0" fontId="58" fillId="11" borderId="23" xfId="0" applyFont="1" applyFill="1" applyBorder="1" applyAlignment="1">
      <alignment horizontal="left"/>
    </xf>
    <xf numFmtId="0" fontId="58" fillId="11" borderId="24" xfId="0" applyFont="1" applyFill="1" applyBorder="1" applyAlignment="1">
      <alignment horizontal="left"/>
    </xf>
    <xf numFmtId="0" fontId="58" fillId="11" borderId="12" xfId="0" applyFont="1" applyFill="1" applyBorder="1" applyAlignment="1">
      <alignment horizontal="left"/>
    </xf>
    <xf numFmtId="0" fontId="58" fillId="11" borderId="13" xfId="0" applyFont="1" applyFill="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4" fillId="0" borderId="2" xfId="0" applyFont="1" applyBorder="1" applyAlignment="1">
      <alignment horizontal="left"/>
    </xf>
    <xf numFmtId="0" fontId="56" fillId="2" borderId="2" xfId="0" applyFont="1" applyFill="1" applyBorder="1" applyAlignment="1">
      <alignment horizontal="left"/>
    </xf>
    <xf numFmtId="166" fontId="59" fillId="12" borderId="8" xfId="2" applyNumberFormat="1" applyFont="1" applyFill="1" applyBorder="1" applyAlignment="1">
      <alignment horizontal="right"/>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D47-4359-993F-738A6F4082E1}"/>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4B2-47B2-AA3D-83299EF3A3CB}"/>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900-4B9E-91DD-FAC02C439578}"/>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CCA-4F88-93E7-02583179AE7A}"/>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5B3-4EC5-915A-AF4FFBF13EF5}"/>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C8A-4A15-89E9-AD6E459DE51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E68-41CC-A139-8EDE3E3DF485}"/>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B67-41A8-AFAE-7762FB2A327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27F-4779-8AB3-7A6BC2C72CF9}"/>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5" name="Chart 4">
          <a:extLst>
            <a:ext uri="{FF2B5EF4-FFF2-40B4-BE49-F238E27FC236}">
              <a16:creationId xmlns:a16="http://schemas.microsoft.com/office/drawing/2014/main" id="{6B9BA363-6D51-4C5A-8B2C-5A9A03E89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3F7BABA0-FBC4-4D33-848F-AE0FF281D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F29EC6B1-3BC9-4815-8E99-B4C80B508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BD788BF8-6BD7-4BAF-A6EE-8A291738F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B79B21A9-C7F3-4056-A036-93DE8BF6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F0A0F0E0-30C2-4562-9720-3E1700E74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2F936734-8D3F-40BF-B885-0EBE340FD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F00858EE-95A0-4852-BEF0-4C8C52E71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BE7E6B64-717A-4BFD-A689-100105AB4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A3A6-E715-416D-A73C-2EF0D0FA94F1}">
  <sheetPr>
    <pageSetUpPr fitToPage="1"/>
  </sheetPr>
  <dimension ref="A1:AV316"/>
  <sheetViews>
    <sheetView showGridLines="0" zoomScaleNormal="100" workbookViewId="0">
      <pane xSplit="3" ySplit="4" topLeftCell="AA5" activePane="bottomRight" state="frozen"/>
      <selection pane="topRight" activeCell="D1" sqref="D1"/>
      <selection pane="bottomLeft" activeCell="A4" sqref="A4"/>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37" t="s">
        <v>210</v>
      </c>
      <c r="C1" s="370"/>
      <c r="D1" s="45"/>
      <c r="E1" s="149"/>
      <c r="F1" s="149"/>
      <c r="G1" s="149"/>
      <c r="H1" s="149"/>
      <c r="I1" s="369"/>
      <c r="J1" s="369"/>
      <c r="K1" s="369"/>
      <c r="L1" s="369"/>
      <c r="M1" s="369"/>
      <c r="N1" s="369"/>
      <c r="O1" s="369"/>
      <c r="P1" s="369"/>
      <c r="Q1" s="369"/>
      <c r="R1" s="369"/>
      <c r="S1" s="369"/>
      <c r="T1" s="369"/>
      <c r="U1" s="369"/>
      <c r="V1" s="369"/>
      <c r="W1" s="373"/>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row>
    <row r="2" spans="1:48" ht="9.3000000000000007" customHeight="1" x14ac:dyDescent="0.3">
      <c r="B2" s="99"/>
      <c r="C2" s="370"/>
      <c r="D2" s="45"/>
      <c r="E2" s="149"/>
      <c r="F2" s="149"/>
      <c r="G2" s="149"/>
      <c r="H2" s="149"/>
      <c r="I2" s="369"/>
      <c r="J2" s="369"/>
      <c r="K2" s="369"/>
      <c r="L2" s="369"/>
      <c r="M2" s="369"/>
      <c r="N2" s="369"/>
      <c r="O2" s="369"/>
      <c r="P2" s="369"/>
      <c r="Q2" s="369"/>
      <c r="R2" s="369"/>
      <c r="S2" s="369"/>
      <c r="T2" s="369"/>
      <c r="U2" s="373"/>
      <c r="V2" s="385"/>
      <c r="W2" s="385"/>
      <c r="X2" s="385"/>
      <c r="Y2" s="385"/>
      <c r="Z2" s="385"/>
      <c r="AA2" s="385"/>
      <c r="AB2" s="369"/>
      <c r="AC2" s="369"/>
      <c r="AD2" s="369"/>
      <c r="AE2" s="369"/>
      <c r="AF2" s="369"/>
      <c r="AG2" s="389"/>
      <c r="AH2" s="391"/>
      <c r="AI2" s="369"/>
      <c r="AJ2" s="369"/>
      <c r="AK2" s="369"/>
      <c r="AL2" s="389"/>
      <c r="AM2" s="391"/>
      <c r="AN2" s="369"/>
      <c r="AO2" s="369"/>
      <c r="AP2" s="369"/>
      <c r="AQ2" s="369"/>
      <c r="AR2" s="369"/>
      <c r="AS2" s="369"/>
      <c r="AT2" s="369"/>
      <c r="AU2" s="369"/>
      <c r="AV2" s="369"/>
    </row>
    <row r="3" spans="1:48" ht="15.6" x14ac:dyDescent="0.3">
      <c r="A3" s="431"/>
      <c r="B3" s="432" t="s">
        <v>18</v>
      </c>
      <c r="C3" s="433"/>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7.55" customHeight="1" x14ac:dyDescent="0.45">
      <c r="A4" s="431"/>
      <c r="B4" s="434" t="s">
        <v>3</v>
      </c>
      <c r="C4" s="435"/>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outlineLevel="1" x14ac:dyDescent="0.3">
      <c r="B5" s="436" t="s">
        <v>101</v>
      </c>
      <c r="C5" s="437"/>
      <c r="D5" s="105">
        <v>5370.3</v>
      </c>
      <c r="E5" s="105">
        <v>5159</v>
      </c>
      <c r="F5" s="105">
        <v>5535</v>
      </c>
      <c r="G5" s="105">
        <f>H5-F5-E5-D5</f>
        <v>5480.1000000000013</v>
      </c>
      <c r="H5" s="170">
        <v>21544.400000000001</v>
      </c>
      <c r="I5" s="105">
        <v>5780.7</v>
      </c>
      <c r="J5" s="105">
        <v>4766</v>
      </c>
      <c r="K5" s="105">
        <v>3444.4</v>
      </c>
      <c r="L5" s="105">
        <v>5173.6000000000004</v>
      </c>
      <c r="M5" s="49">
        <f>SUM(I5:L5)</f>
        <v>19164.7</v>
      </c>
      <c r="N5" s="48">
        <v>5726.5</v>
      </c>
      <c r="O5" s="48">
        <v>5653.1</v>
      </c>
      <c r="P5" s="48">
        <v>6363.1</v>
      </c>
      <c r="Q5" s="105">
        <v>6864.3</v>
      </c>
      <c r="R5" s="49">
        <f>SUM(N5:Q5)</f>
        <v>24607</v>
      </c>
      <c r="S5" s="48">
        <v>6722.4</v>
      </c>
      <c r="T5" s="48">
        <v>6276.7</v>
      </c>
      <c r="U5" s="48">
        <v>6675.5</v>
      </c>
      <c r="V5" s="48">
        <f>+V45+V78</f>
        <v>6848.8037658907733</v>
      </c>
      <c r="W5" s="49">
        <f>SUM(S5:V5)</f>
        <v>26523.403765890773</v>
      </c>
      <c r="X5" s="48">
        <f>+X45+X78</f>
        <v>7152.5480557286273</v>
      </c>
      <c r="Y5" s="48">
        <f>+Y45+Y78</f>
        <v>6857.4886027854463</v>
      </c>
      <c r="Z5" s="48">
        <f>+Z45+Z78</f>
        <v>7528.1178194557115</v>
      </c>
      <c r="AA5" s="48">
        <f>+AA45+AA78</f>
        <v>7770.5482624277374</v>
      </c>
      <c r="AB5" s="49">
        <f>SUM(X5:AA5)</f>
        <v>29308.702740397523</v>
      </c>
      <c r="AC5" s="48">
        <f>+AC45+AC78</f>
        <v>8082.0653714707933</v>
      </c>
      <c r="AD5" s="48">
        <f>+AD45+AD78</f>
        <v>7528.9186896268975</v>
      </c>
      <c r="AE5" s="48">
        <f>+AE45+AE78</f>
        <v>8269.2690708785849</v>
      </c>
      <c r="AF5" s="48">
        <f>+AF45+AF78</f>
        <v>8567.0384126600347</v>
      </c>
      <c r="AG5" s="49">
        <f>SUM(AC5:AF5)</f>
        <v>32447.291544636311</v>
      </c>
      <c r="AH5" s="48">
        <f>+AH45+AH78</f>
        <v>9031.3509318393244</v>
      </c>
      <c r="AI5" s="48">
        <f>+AI45+AI78</f>
        <v>8408.8147233096352</v>
      </c>
      <c r="AJ5" s="48">
        <f>+AJ45+AJ78</f>
        <v>9240.2278570739163</v>
      </c>
      <c r="AK5" s="48">
        <f>+AK45+AK78</f>
        <v>9596.9517827829623</v>
      </c>
      <c r="AL5" s="49">
        <f>SUM(AH5:AK5)</f>
        <v>36277.345295005834</v>
      </c>
      <c r="AM5" s="48">
        <f>+AM45+AM78</f>
        <v>9951.2465837299314</v>
      </c>
      <c r="AN5" s="48">
        <f>+AN45+AN78</f>
        <v>9227.1137384203721</v>
      </c>
      <c r="AO5" s="48">
        <f>+AO45+AO78</f>
        <v>10109.899554216639</v>
      </c>
      <c r="AP5" s="48">
        <f>+AP45+AP78</f>
        <v>10478.003443959413</v>
      </c>
      <c r="AQ5" s="49">
        <f>SUM(AM5:AP5)</f>
        <v>39766.263320326354</v>
      </c>
      <c r="AR5" s="48">
        <f>+AR45+AR78</f>
        <v>10636.367135749306</v>
      </c>
      <c r="AS5" s="48">
        <f>+AS45+AS78</f>
        <v>9856.9494839221479</v>
      </c>
      <c r="AT5" s="48">
        <f>+AT45+AT78</f>
        <v>10796.256281417584</v>
      </c>
      <c r="AU5" s="48">
        <f>+AU45+AU78</f>
        <v>11190.181518807902</v>
      </c>
      <c r="AV5" s="49">
        <f>SUM(AR5:AU5)</f>
        <v>42479.754419896941</v>
      </c>
    </row>
    <row r="6" spans="1:48" outlineLevel="1" x14ac:dyDescent="0.3">
      <c r="B6" s="436" t="s">
        <v>102</v>
      </c>
      <c r="C6" s="437"/>
      <c r="D6" s="105">
        <v>737.1</v>
      </c>
      <c r="E6" s="105">
        <v>678.2</v>
      </c>
      <c r="F6" s="105">
        <v>725</v>
      </c>
      <c r="G6" s="105">
        <f t="shared" ref="G6:G16" si="0">H6-F6-E6-D6</f>
        <v>734.69999999999993</v>
      </c>
      <c r="H6" s="170">
        <v>2875</v>
      </c>
      <c r="I6" s="105">
        <v>792</v>
      </c>
      <c r="J6" s="105">
        <v>689.8</v>
      </c>
      <c r="K6" s="105">
        <v>300.5</v>
      </c>
      <c r="L6" s="48">
        <v>544.6</v>
      </c>
      <c r="M6" s="49">
        <f t="shared" ref="M6:M7" si="1">SUM(I6:L6)</f>
        <v>2326.9</v>
      </c>
      <c r="N6" s="48">
        <v>613.79999999999995</v>
      </c>
      <c r="O6" s="48">
        <v>595</v>
      </c>
      <c r="P6" s="48">
        <v>680.2</v>
      </c>
      <c r="Q6" s="105">
        <v>794.5</v>
      </c>
      <c r="R6" s="49">
        <f>SUM(N6:Q6)</f>
        <v>2683.5</v>
      </c>
      <c r="S6" s="48">
        <v>850.8</v>
      </c>
      <c r="T6" s="48">
        <v>849.5</v>
      </c>
      <c r="U6" s="48">
        <v>956.8</v>
      </c>
      <c r="V6" s="48">
        <f>+V54+V87</f>
        <v>908.81667302605592</v>
      </c>
      <c r="W6" s="49">
        <f t="shared" ref="W6:W7" si="2">SUM(S6:V6)</f>
        <v>3565.9166730260558</v>
      </c>
      <c r="X6" s="48">
        <f>+X54+X87</f>
        <v>1001.2189702663679</v>
      </c>
      <c r="Y6" s="48">
        <f>+Y54+Y87</f>
        <v>1007.5031116484407</v>
      </c>
      <c r="Z6" s="48">
        <f>+Z54+Z87</f>
        <v>1121.5323392099008</v>
      </c>
      <c r="AA6" s="48">
        <f>+AA54+AA87</f>
        <v>1075.1217785472472</v>
      </c>
      <c r="AB6" s="49">
        <f t="shared" ref="AB6:AB7" si="3">SUM(X6:AA6)</f>
        <v>4205.3761996719568</v>
      </c>
      <c r="AC6" s="48">
        <f>+AC54+AC87</f>
        <v>1115.9362143506919</v>
      </c>
      <c r="AD6" s="48">
        <f>+AD54+AD87</f>
        <v>1123.7600876027257</v>
      </c>
      <c r="AE6" s="48">
        <f>+AE54+AE87</f>
        <v>1253.5437312013921</v>
      </c>
      <c r="AF6" s="48">
        <f>+AF54+AF87</f>
        <v>1202.3100873805458</v>
      </c>
      <c r="AG6" s="49">
        <f t="shared" ref="AG6:AG7" si="4">SUM(AC6:AF6)</f>
        <v>4695.5501205353557</v>
      </c>
      <c r="AH6" s="48">
        <f>+AH54+AH87</f>
        <v>1259.2690223110171</v>
      </c>
      <c r="AI6" s="48">
        <f>+AI54+AI87</f>
        <v>1268.7489718700565</v>
      </c>
      <c r="AJ6" s="48">
        <f>+AJ54+AJ87</f>
        <v>1416.6057338416379</v>
      </c>
      <c r="AK6" s="48">
        <f>+AK54+AK87</f>
        <v>1359.1190710594724</v>
      </c>
      <c r="AL6" s="49">
        <f t="shared" ref="AL6:AL7" si="5">SUM(AH6:AK6)</f>
        <v>5303.7427990821834</v>
      </c>
      <c r="AM6" s="48">
        <f>+AM54+AM87</f>
        <v>1399.5818264463619</v>
      </c>
      <c r="AN6" s="48">
        <f>+AN54+AN87</f>
        <v>1393.6050603962776</v>
      </c>
      <c r="AO6" s="48">
        <f>+AO54+AO87</f>
        <v>1538.7542416120527</v>
      </c>
      <c r="AP6" s="48">
        <f>+AP54+AP87</f>
        <v>1459.1976477696517</v>
      </c>
      <c r="AQ6" s="49">
        <f t="shared" ref="AQ6:AQ7" si="6">SUM(AM6:AP6)</f>
        <v>5791.1387762243439</v>
      </c>
      <c r="AR6" s="48">
        <f>+AR54+AR87</f>
        <v>1465.1062284098773</v>
      </c>
      <c r="AS6" s="48">
        <f>+AS54+AS87</f>
        <v>1458.7938710081207</v>
      </c>
      <c r="AT6" s="48">
        <f>+AT54+AT87</f>
        <v>1610.939227369021</v>
      </c>
      <c r="AU6" s="48">
        <f>+AU54+AU87</f>
        <v>1527.5841436113446</v>
      </c>
      <c r="AV6" s="49">
        <f t="shared" ref="AV6:AV7" si="7">SUM(AR6:AU6)</f>
        <v>6062.4234703983639</v>
      </c>
    </row>
    <row r="7" spans="1:48" ht="16.2" outlineLevel="1" x14ac:dyDescent="0.45">
      <c r="B7" s="436" t="s">
        <v>103</v>
      </c>
      <c r="C7" s="437"/>
      <c r="D7" s="104">
        <v>525.29999999999995</v>
      </c>
      <c r="E7" s="104">
        <v>468.7</v>
      </c>
      <c r="F7" s="104">
        <v>563</v>
      </c>
      <c r="G7" s="104">
        <f t="shared" si="0"/>
        <v>532.19999999999982</v>
      </c>
      <c r="H7" s="173">
        <v>2089.1999999999998</v>
      </c>
      <c r="I7" s="104">
        <v>524.4</v>
      </c>
      <c r="J7" s="104">
        <v>539.9</v>
      </c>
      <c r="K7" s="104">
        <v>477.2</v>
      </c>
      <c r="L7" s="52">
        <v>484.9</v>
      </c>
      <c r="M7" s="53">
        <f t="shared" si="1"/>
        <v>2026.4</v>
      </c>
      <c r="N7" s="52">
        <v>409.1</v>
      </c>
      <c r="O7" s="52">
        <v>419.9</v>
      </c>
      <c r="P7" s="52">
        <v>453.2</v>
      </c>
      <c r="Q7" s="104">
        <v>487.9</v>
      </c>
      <c r="R7" s="53">
        <f>SUM(N7:Q7)</f>
        <v>1770.1</v>
      </c>
      <c r="S7" s="52">
        <v>477.2</v>
      </c>
      <c r="T7" s="52">
        <v>509.4</v>
      </c>
      <c r="U7" s="52">
        <v>517.79999999999995</v>
      </c>
      <c r="V7" s="52">
        <f>+V55+V88+V108+V123</f>
        <v>530.10800000000006</v>
      </c>
      <c r="W7" s="173">
        <f t="shared" si="2"/>
        <v>2034.5079999999998</v>
      </c>
      <c r="X7" s="52">
        <f>+X55+X88+X108+X123</f>
        <v>514.53500000000008</v>
      </c>
      <c r="Y7" s="52">
        <f>+Y55+Y88+Y108+Y123</f>
        <v>527.98200000000008</v>
      </c>
      <c r="Z7" s="52">
        <f>+Z55+Z88+Z108+Z123</f>
        <v>541.15800000000002</v>
      </c>
      <c r="AA7" s="52">
        <f>+AA55+AA88+AA108+AA123</f>
        <v>553.38710000000015</v>
      </c>
      <c r="AB7" s="53">
        <f t="shared" si="3"/>
        <v>2137.0621000000001</v>
      </c>
      <c r="AC7" s="52">
        <f>+AC55+AC88+AC108+AC123</f>
        <v>538.26440000000014</v>
      </c>
      <c r="AD7" s="52">
        <f>+AD55+AD88+AD108+AD123</f>
        <v>552.56346000000008</v>
      </c>
      <c r="AE7" s="52">
        <f>+AE55+AE88+AE108+AE123</f>
        <v>566.17452000000003</v>
      </c>
      <c r="AF7" s="52">
        <f>+AF55+AF88+AF108+AF123</f>
        <v>579.71528800000021</v>
      </c>
      <c r="AG7" s="53">
        <f t="shared" si="4"/>
        <v>2236.7176680000007</v>
      </c>
      <c r="AH7" s="52">
        <f>+AH55+AH88+AH108+AH123</f>
        <v>567.58199600000012</v>
      </c>
      <c r="AI7" s="52">
        <f>+AI55+AI88+AI108+AI123</f>
        <v>580.59704340000019</v>
      </c>
      <c r="AJ7" s="52">
        <f>+AJ55+AJ88+AJ108+AJ123</f>
        <v>593.31856080000011</v>
      </c>
      <c r="AK7" s="52">
        <f>+AK55+AK88+AK108+AK123</f>
        <v>608.49081032000015</v>
      </c>
      <c r="AL7" s="53">
        <f t="shared" si="5"/>
        <v>2349.9884105200008</v>
      </c>
      <c r="AM7" s="52">
        <f>+AM55+AM88+AM108+AM123</f>
        <v>594.36976184000025</v>
      </c>
      <c r="AN7" s="52">
        <f>+AN55+AN88+AN108+AN123</f>
        <v>607.20447663600021</v>
      </c>
      <c r="AO7" s="52">
        <f>+AO55+AO88+AO108+AO123</f>
        <v>620.07958123200001</v>
      </c>
      <c r="AP7" s="52">
        <f>+AP55+AP88+AP108+AP123</f>
        <v>636.60205053280015</v>
      </c>
      <c r="AQ7" s="53">
        <f t="shared" si="6"/>
        <v>2458.2558702408005</v>
      </c>
      <c r="AR7" s="52">
        <f>+AR55+AR88+AR108+AR123</f>
        <v>620.6669569136003</v>
      </c>
      <c r="AS7" s="52">
        <f>+AS55+AS88+AS108+AS123</f>
        <v>633.83488747644026</v>
      </c>
      <c r="AT7" s="52">
        <f>+AT55+AT88+AT108+AT123</f>
        <v>647.37274528128012</v>
      </c>
      <c r="AU7" s="52">
        <f>+AU55+AU88+AU108+AU123</f>
        <v>665.17309938411222</v>
      </c>
      <c r="AV7" s="53">
        <f t="shared" si="7"/>
        <v>2567.0476890554328</v>
      </c>
    </row>
    <row r="8" spans="1:48" s="8" customFormat="1" x14ac:dyDescent="0.3">
      <c r="B8" s="438" t="s">
        <v>104</v>
      </c>
      <c r="C8" s="439"/>
      <c r="D8" s="103">
        <f t="shared" ref="D8:AB8" si="8">SUM(D5:D7)</f>
        <v>6632.7000000000007</v>
      </c>
      <c r="E8" s="103">
        <f t="shared" si="8"/>
        <v>6305.9</v>
      </c>
      <c r="F8" s="103">
        <f t="shared" si="8"/>
        <v>6823</v>
      </c>
      <c r="G8" s="103">
        <f t="shared" si="8"/>
        <v>6747.0000000000009</v>
      </c>
      <c r="H8" s="171">
        <f t="shared" si="8"/>
        <v>26508.600000000002</v>
      </c>
      <c r="I8" s="103">
        <f>SUM(I5:I7)</f>
        <v>7097.0999999999995</v>
      </c>
      <c r="J8" s="103">
        <f>SUM(J5:J7)</f>
        <v>5995.7</v>
      </c>
      <c r="K8" s="103">
        <f>SUM(K5:K7)</f>
        <v>4222.1000000000004</v>
      </c>
      <c r="L8" s="103">
        <f>SUM(L5:L7)</f>
        <v>6203.1</v>
      </c>
      <c r="M8" s="171">
        <f t="shared" si="8"/>
        <v>23518.000000000004</v>
      </c>
      <c r="N8" s="103">
        <f t="shared" si="8"/>
        <v>6749.4000000000005</v>
      </c>
      <c r="O8" s="103">
        <f t="shared" si="8"/>
        <v>6668</v>
      </c>
      <c r="P8" s="103">
        <f t="shared" si="8"/>
        <v>7496.5</v>
      </c>
      <c r="Q8" s="103">
        <f>SUM(Q5:Q7)</f>
        <v>8146.7</v>
      </c>
      <c r="R8" s="171">
        <f t="shared" si="8"/>
        <v>29060.6</v>
      </c>
      <c r="S8" s="103">
        <f t="shared" si="8"/>
        <v>8050.4</v>
      </c>
      <c r="T8" s="103">
        <f t="shared" si="8"/>
        <v>7635.5999999999995</v>
      </c>
      <c r="U8" s="103">
        <f t="shared" si="8"/>
        <v>8150.1</v>
      </c>
      <c r="V8" s="103">
        <f t="shared" si="8"/>
        <v>8287.728438916829</v>
      </c>
      <c r="W8" s="171">
        <f t="shared" si="8"/>
        <v>32123.828438916826</v>
      </c>
      <c r="X8" s="50">
        <f t="shared" si="8"/>
        <v>8668.3020259949953</v>
      </c>
      <c r="Y8" s="50">
        <f t="shared" si="8"/>
        <v>8392.9737144338869</v>
      </c>
      <c r="Z8" s="50">
        <f t="shared" si="8"/>
        <v>9190.8081586656117</v>
      </c>
      <c r="AA8" s="50">
        <f t="shared" si="8"/>
        <v>9399.0571409749846</v>
      </c>
      <c r="AB8" s="171">
        <f t="shared" si="8"/>
        <v>35651.14104006948</v>
      </c>
      <c r="AC8" s="50">
        <f t="shared" ref="AC8:AQ8" si="9">SUM(AC5:AC7)</f>
        <v>9736.2659858214847</v>
      </c>
      <c r="AD8" s="50">
        <f t="shared" si="9"/>
        <v>9205.2422372296223</v>
      </c>
      <c r="AE8" s="50">
        <f t="shared" si="9"/>
        <v>10088.987322079978</v>
      </c>
      <c r="AF8" s="50">
        <f t="shared" si="9"/>
        <v>10349.063788040579</v>
      </c>
      <c r="AG8" s="51">
        <f t="shared" si="9"/>
        <v>39379.559333171666</v>
      </c>
      <c r="AH8" s="50">
        <f t="shared" si="9"/>
        <v>10858.201950150342</v>
      </c>
      <c r="AI8" s="50">
        <f t="shared" si="9"/>
        <v>10258.160738579692</v>
      </c>
      <c r="AJ8" s="50">
        <f t="shared" si="9"/>
        <v>11250.152151715554</v>
      </c>
      <c r="AK8" s="50">
        <f t="shared" si="9"/>
        <v>11564.561664162435</v>
      </c>
      <c r="AL8" s="51">
        <f t="shared" si="9"/>
        <v>43931.07650460802</v>
      </c>
      <c r="AM8" s="50">
        <f t="shared" si="9"/>
        <v>11945.198172016293</v>
      </c>
      <c r="AN8" s="50">
        <f t="shared" si="9"/>
        <v>11227.923275452649</v>
      </c>
      <c r="AO8" s="50">
        <f t="shared" si="9"/>
        <v>12268.733377060691</v>
      </c>
      <c r="AP8" s="50">
        <f t="shared" si="9"/>
        <v>12573.803142261864</v>
      </c>
      <c r="AQ8" s="51">
        <f t="shared" si="9"/>
        <v>48015.657966791499</v>
      </c>
      <c r="AR8" s="50">
        <f t="shared" ref="AR8:AV8" si="10">SUM(AR5:AR7)</f>
        <v>12722.140321072784</v>
      </c>
      <c r="AS8" s="50">
        <f t="shared" si="10"/>
        <v>11949.578242406709</v>
      </c>
      <c r="AT8" s="50">
        <f t="shared" si="10"/>
        <v>13054.568254067884</v>
      </c>
      <c r="AU8" s="50">
        <f t="shared" si="10"/>
        <v>13382.938761803358</v>
      </c>
      <c r="AV8" s="51">
        <f t="shared" si="10"/>
        <v>51109.225579350743</v>
      </c>
    </row>
    <row r="9" spans="1:48" outlineLevel="1" x14ac:dyDescent="0.3">
      <c r="B9" s="440" t="s">
        <v>100</v>
      </c>
      <c r="C9" s="441"/>
      <c r="D9" s="105">
        <v>2175.8000000000002</v>
      </c>
      <c r="E9" s="105">
        <v>2012</v>
      </c>
      <c r="F9" s="105">
        <v>2199.6</v>
      </c>
      <c r="G9" s="105">
        <f t="shared" si="0"/>
        <v>2139.4999999999991</v>
      </c>
      <c r="H9" s="170">
        <v>8526.9</v>
      </c>
      <c r="I9" s="105">
        <v>2236.4</v>
      </c>
      <c r="J9" s="105">
        <v>1997.7</v>
      </c>
      <c r="K9" s="105">
        <v>1484</v>
      </c>
      <c r="L9" s="105">
        <v>1976.8</v>
      </c>
      <c r="M9" s="170">
        <f>SUM(I9:L9)</f>
        <v>7694.9000000000005</v>
      </c>
      <c r="N9" s="105">
        <v>2049.1</v>
      </c>
      <c r="O9" s="105">
        <v>1992.4</v>
      </c>
      <c r="P9" s="105">
        <v>2206</v>
      </c>
      <c r="Q9" s="105">
        <v>2491.1</v>
      </c>
      <c r="R9" s="170">
        <f>SUM(N9:Q9)</f>
        <v>8738.6</v>
      </c>
      <c r="S9" s="105">
        <v>2526.9</v>
      </c>
      <c r="T9" s="105">
        <v>2465.8000000000002</v>
      </c>
      <c r="U9" s="105">
        <v>2613.6</v>
      </c>
      <c r="V9" s="105">
        <f>+V60+V93+V110+V125</f>
        <v>2680.4740760427126</v>
      </c>
      <c r="W9" s="170">
        <f>SUM(S9:V9)</f>
        <v>10286.774076042713</v>
      </c>
      <c r="X9" s="105">
        <f>+X60+X93+X110+X125</f>
        <v>2792.2046014811281</v>
      </c>
      <c r="Y9" s="105">
        <f>+Y60+Y93+Y110+Y125</f>
        <v>2698.0110990988778</v>
      </c>
      <c r="Z9" s="105">
        <f>+Z60+Z93+Z110+Z125</f>
        <v>2952.0141051285923</v>
      </c>
      <c r="AA9" s="105">
        <f>+AA60+AA93+AA110+AA125</f>
        <v>2951.0890842542804</v>
      </c>
      <c r="AB9" s="49">
        <f>SUM(X9:AA9)</f>
        <v>11393.318889962877</v>
      </c>
      <c r="AC9" s="105">
        <f>+AC60+AC93+AC110+AC125</f>
        <v>3023.2384942526246</v>
      </c>
      <c r="AD9" s="105">
        <f>+AD60+AD93+AD110+AD125</f>
        <v>2902.466857308701</v>
      </c>
      <c r="AE9" s="105">
        <f>+AE60+AE93+AE110+AE125</f>
        <v>3218.0178890072548</v>
      </c>
      <c r="AF9" s="105">
        <f>+AF60+AF93+AF110+AF125</f>
        <v>3315.8214837705582</v>
      </c>
      <c r="AG9" s="49">
        <f>SUM(AC9:AF9)</f>
        <v>12459.544724339139</v>
      </c>
      <c r="AH9" s="105">
        <f>+AH60+AH93+AH110+AH125</f>
        <v>3349.1473466965335</v>
      </c>
      <c r="AI9" s="105">
        <f>+AI60+AI93+AI110+AI125</f>
        <v>3208.547147045143</v>
      </c>
      <c r="AJ9" s="105">
        <f>+AJ60+AJ93+AJ110+AJ125</f>
        <v>3536.0498900789989</v>
      </c>
      <c r="AK9" s="105">
        <f>+AK60+AK93+AK110+AK125</f>
        <v>3681.0028136399264</v>
      </c>
      <c r="AL9" s="49">
        <f>SUM(AH9:AK9)</f>
        <v>13774.747197460601</v>
      </c>
      <c r="AM9" s="105">
        <f>+AM60+AM93+AM110+AM125</f>
        <v>3678.0411736337292</v>
      </c>
      <c r="AN9" s="105">
        <f>+AN60+AN93+AN110+AN125</f>
        <v>3501.2840744200125</v>
      </c>
      <c r="AO9" s="105">
        <f>+AO60+AO93+AO110+AO125</f>
        <v>3847.5319249663094</v>
      </c>
      <c r="AP9" s="105">
        <f>+AP60+AP93+AP110+AP125</f>
        <v>3993.436959935877</v>
      </c>
      <c r="AQ9" s="49">
        <f>SUM(AM9:AP9)</f>
        <v>15020.294132955929</v>
      </c>
      <c r="AR9" s="105">
        <f>+AR60+AR93+AR110+AR125</f>
        <v>3911.8014904043416</v>
      </c>
      <c r="AS9" s="105">
        <f>+AS60+AS93+AS110+AS125</f>
        <v>3720.0511128171688</v>
      </c>
      <c r="AT9" s="105">
        <f>+AT60+AT93+AT110+AT125</f>
        <v>4088.08973531024</v>
      </c>
      <c r="AU9" s="105">
        <f>+AU60+AU93+AU110+AU125</f>
        <v>4244.8193493405943</v>
      </c>
      <c r="AV9" s="49">
        <f>SUM(AR9:AU9)</f>
        <v>15964.761687872344</v>
      </c>
    </row>
    <row r="10" spans="1:48" outlineLevel="1" x14ac:dyDescent="0.3">
      <c r="B10" s="38" t="s">
        <v>32</v>
      </c>
      <c r="C10" s="18"/>
      <c r="D10" s="105">
        <v>2586.8000000000002</v>
      </c>
      <c r="E10" s="105">
        <v>2554.1</v>
      </c>
      <c r="F10" s="105">
        <v>2643.2</v>
      </c>
      <c r="G10" s="105">
        <f t="shared" si="0"/>
        <v>2709.5000000000009</v>
      </c>
      <c r="H10" s="170">
        <v>10493.6</v>
      </c>
      <c r="I10" s="105">
        <v>2821.5</v>
      </c>
      <c r="J10" s="105">
        <v>2721.4</v>
      </c>
      <c r="K10" s="105">
        <v>2537.8000000000002</v>
      </c>
      <c r="L10" s="48">
        <v>2683.4</v>
      </c>
      <c r="M10" s="49">
        <f t="shared" ref="M10:M13" si="11">SUM(I10:L10)</f>
        <v>10764.1</v>
      </c>
      <c r="N10" s="48">
        <v>2867.3</v>
      </c>
      <c r="O10" s="105">
        <v>2823.3</v>
      </c>
      <c r="P10" s="105">
        <v>2966.9</v>
      </c>
      <c r="Q10" s="105">
        <v>3273.4</v>
      </c>
      <c r="R10" s="170">
        <f t="shared" ref="R10:R13" si="12">SUM(N10:Q10)</f>
        <v>11930.9</v>
      </c>
      <c r="S10" s="48">
        <v>3400</v>
      </c>
      <c r="T10" s="48">
        <v>3314.7</v>
      </c>
      <c r="U10" s="48">
        <v>3302.5</v>
      </c>
      <c r="V10" s="48">
        <f>+V62+V95</f>
        <v>3414.8150402467754</v>
      </c>
      <c r="W10" s="170">
        <f t="shared" ref="W10:W13" si="13">SUM(S10:V10)</f>
        <v>13432.015040246777</v>
      </c>
      <c r="X10" s="48">
        <f>+X62+X95</f>
        <v>3685.4801881898834</v>
      </c>
      <c r="Y10" s="48">
        <f>+Y62+Y95</f>
        <v>3621.863857006987</v>
      </c>
      <c r="Z10" s="48">
        <f>+Z62+Z95</f>
        <v>3791.4905667549974</v>
      </c>
      <c r="AA10" s="48">
        <f>+AA62+AA95</f>
        <v>3859.9983897140073</v>
      </c>
      <c r="AB10" s="49">
        <f t="shared" ref="AB10:AB13" si="14">SUM(X10:AA10)</f>
        <v>14958.833001665877</v>
      </c>
      <c r="AC10" s="48">
        <f>+AC62+AC95</f>
        <v>4089.8826101992436</v>
      </c>
      <c r="AD10" s="48">
        <f>+AD62+AD95</f>
        <v>3933.8256950432133</v>
      </c>
      <c r="AE10" s="48">
        <f>+AE62+AE95</f>
        <v>4163.9065147189303</v>
      </c>
      <c r="AF10" s="48">
        <f>+AF62+AF95</f>
        <v>4315.9635483888687</v>
      </c>
      <c r="AG10" s="49">
        <f t="shared" ref="AG10:AG14" si="15">SUM(AC10:AF10)</f>
        <v>16503.578368350256</v>
      </c>
      <c r="AH10" s="48">
        <f>+AH62+AH95</f>
        <v>4555.7736821072267</v>
      </c>
      <c r="AI10" s="48">
        <f>+AI62+AI95</f>
        <v>4378.8433292944728</v>
      </c>
      <c r="AJ10" s="48">
        <f>+AJ62+AJ95</f>
        <v>4606.890573962497</v>
      </c>
      <c r="AK10" s="48">
        <f>+AK62+AK95</f>
        <v>4819.4739979948627</v>
      </c>
      <c r="AL10" s="49">
        <f t="shared" ref="AL10:AL14" si="16">SUM(AH10:AK10)</f>
        <v>18360.981583359062</v>
      </c>
      <c r="AM10" s="48">
        <f>+AM62+AM95</f>
        <v>5015.9853796321413</v>
      </c>
      <c r="AN10" s="48">
        <f>+AN62+AN95</f>
        <v>4800.943043211957</v>
      </c>
      <c r="AO10" s="48">
        <f>+AO62+AO95</f>
        <v>5042.110056853493</v>
      </c>
      <c r="AP10" s="48">
        <f>+AP62+AP95</f>
        <v>5260.711730717212</v>
      </c>
      <c r="AQ10" s="49">
        <f t="shared" ref="AQ10:AQ14" si="17">SUM(AM10:AP10)</f>
        <v>20119.750210414804</v>
      </c>
      <c r="AR10" s="48">
        <f>+AR62+AR95</f>
        <v>5360.5936623820489</v>
      </c>
      <c r="AS10" s="48">
        <f>+AS62+AS95</f>
        <v>5127.6553297194241</v>
      </c>
      <c r="AT10" s="48">
        <f>+AT62+AT95</f>
        <v>5384.989355641309</v>
      </c>
      <c r="AU10" s="48">
        <f>+AU62+AU95</f>
        <v>5617.5289751728369</v>
      </c>
      <c r="AV10" s="49">
        <f t="shared" ref="AV10:AV14" si="18">SUM(AR10:AU10)</f>
        <v>21490.767322915621</v>
      </c>
    </row>
    <row r="11" spans="1:48" outlineLevel="1" x14ac:dyDescent="0.3">
      <c r="B11" s="38" t="s">
        <v>33</v>
      </c>
      <c r="C11" s="18"/>
      <c r="D11" s="105">
        <v>97.6</v>
      </c>
      <c r="E11" s="105">
        <v>87.1</v>
      </c>
      <c r="F11" s="105">
        <v>94.4</v>
      </c>
      <c r="G11" s="105">
        <f t="shared" si="0"/>
        <v>91.900000000000034</v>
      </c>
      <c r="H11" s="170">
        <v>371</v>
      </c>
      <c r="I11" s="105">
        <v>101.8</v>
      </c>
      <c r="J11" s="105">
        <v>95</v>
      </c>
      <c r="K11" s="105">
        <v>133.6</v>
      </c>
      <c r="L11" s="48">
        <v>99.9</v>
      </c>
      <c r="M11" s="49">
        <f t="shared" si="11"/>
        <v>430.29999999999995</v>
      </c>
      <c r="N11" s="48">
        <v>91.8</v>
      </c>
      <c r="O11" s="105">
        <v>87.7</v>
      </c>
      <c r="P11" s="105">
        <v>71.400000000000006</v>
      </c>
      <c r="Q11" s="105">
        <v>108.6</v>
      </c>
      <c r="R11" s="170">
        <f t="shared" si="12"/>
        <v>359.5</v>
      </c>
      <c r="S11" s="48">
        <v>101.7</v>
      </c>
      <c r="T11" s="48">
        <v>101.7</v>
      </c>
      <c r="U11" s="48">
        <v>135.1</v>
      </c>
      <c r="V11" s="48">
        <f>+V64+V97+V112+V126</f>
        <v>135.32630991142233</v>
      </c>
      <c r="W11" s="170">
        <f t="shared" si="13"/>
        <v>473.8263099114223</v>
      </c>
      <c r="X11" s="48">
        <f>+X64+X97+X112+X126</f>
        <v>119.63392249164208</v>
      </c>
      <c r="Y11" s="48">
        <f>+Y64+Y97+Y112+Y126</f>
        <v>112.38120296136272</v>
      </c>
      <c r="Z11" s="48">
        <f>+Z64+Z97+Z112+Z126</f>
        <v>147.10195665905303</v>
      </c>
      <c r="AA11" s="48">
        <f>+AA64+AA97+AA112+AA126</f>
        <v>138.97111750822123</v>
      </c>
      <c r="AB11" s="49">
        <f t="shared" si="14"/>
        <v>518.08819962027906</v>
      </c>
      <c r="AC11" s="48">
        <f>+AC64+AC97+AC112+AC126</f>
        <v>126.75537967623542</v>
      </c>
      <c r="AD11" s="48">
        <f>+AD64+AD97+AD112+AD126</f>
        <v>124.31897310126313</v>
      </c>
      <c r="AE11" s="48">
        <f>+AE64+AE97+AE112+AE126</f>
        <v>151.73192302219883</v>
      </c>
      <c r="AF11" s="48">
        <f>+AF64+AF97+AF112+AF126</f>
        <v>142.70666780703053</v>
      </c>
      <c r="AG11" s="49">
        <f t="shared" si="15"/>
        <v>545.51294360672784</v>
      </c>
      <c r="AH11" s="48">
        <f>+AH64+AH97+AH112+AH126</f>
        <v>134.43580305267341</v>
      </c>
      <c r="AI11" s="48">
        <f>+AI64+AI97+AI112+AI126</f>
        <v>133.81658504870623</v>
      </c>
      <c r="AJ11" s="48">
        <f>+AJ64+AJ97+AJ112+AJ126</f>
        <v>152.91518920045755</v>
      </c>
      <c r="AK11" s="48">
        <f>+AK64+AK97+AK112+AK126</f>
        <v>150.6224716147363</v>
      </c>
      <c r="AL11" s="49">
        <f t="shared" si="16"/>
        <v>571.7900489165736</v>
      </c>
      <c r="AM11" s="48">
        <f>+AM64+AM97+AM112+AM126</f>
        <v>148.2925012715591</v>
      </c>
      <c r="AN11" s="48">
        <f>+AN64+AN97+AN112+AN126</f>
        <v>146.69043608734765</v>
      </c>
      <c r="AO11" s="48">
        <f>+AO64+AO97+AO112+AO126</f>
        <v>166.74520966001205</v>
      </c>
      <c r="AP11" s="48">
        <f>+AP64+AP97+AP112+AP126</f>
        <v>163.27997382605707</v>
      </c>
      <c r="AQ11" s="49">
        <f t="shared" si="17"/>
        <v>625.00812084497579</v>
      </c>
      <c r="AR11" s="48">
        <f>+AR64+AR97+AR112+AR126</f>
        <v>157.57489229158986</v>
      </c>
      <c r="AS11" s="48">
        <f>+AS64+AS97+AS112+AS126</f>
        <v>155.77830829345254</v>
      </c>
      <c r="AT11" s="48">
        <f>+AT64+AT97+AT112+AT126</f>
        <v>177.09212998252491</v>
      </c>
      <c r="AU11" s="48">
        <f>+AU64+AU97+AU112+AU126</f>
        <v>173.40265830281751</v>
      </c>
      <c r="AV11" s="49">
        <f t="shared" si="18"/>
        <v>663.84798887038482</v>
      </c>
    </row>
    <row r="12" spans="1:48" outlineLevel="1" x14ac:dyDescent="0.3">
      <c r="B12" s="38" t="s">
        <v>34</v>
      </c>
      <c r="C12" s="18"/>
      <c r="D12" s="105">
        <v>333.4</v>
      </c>
      <c r="E12" s="105">
        <v>356.2</v>
      </c>
      <c r="F12" s="105">
        <v>343.1</v>
      </c>
      <c r="G12" s="105">
        <f t="shared" si="0"/>
        <v>344.5999999999998</v>
      </c>
      <c r="H12" s="170">
        <v>1377.3</v>
      </c>
      <c r="I12" s="105">
        <v>351</v>
      </c>
      <c r="J12" s="105">
        <v>356.3</v>
      </c>
      <c r="K12" s="105">
        <v>361</v>
      </c>
      <c r="L12" s="48">
        <v>362.9</v>
      </c>
      <c r="M12" s="49">
        <f t="shared" ref="M12" si="19">SUM(I12:L12)</f>
        <v>1431.1999999999998</v>
      </c>
      <c r="N12" s="48">
        <v>366.1</v>
      </c>
      <c r="O12" s="105">
        <v>366.7</v>
      </c>
      <c r="P12" s="105">
        <v>354.3</v>
      </c>
      <c r="Q12" s="105">
        <v>354.7</v>
      </c>
      <c r="R12" s="170">
        <f t="shared" ref="R12" si="20">SUM(N12:Q12)</f>
        <v>1441.8</v>
      </c>
      <c r="S12" s="48">
        <v>366</v>
      </c>
      <c r="T12" s="48">
        <v>367.7</v>
      </c>
      <c r="U12" s="48">
        <v>356.8</v>
      </c>
      <c r="V12" s="48">
        <f>+V66+V99+V114+V127</f>
        <v>369.17212312193374</v>
      </c>
      <c r="W12" s="170">
        <f t="shared" ref="W12" si="21">SUM(S12:V12)</f>
        <v>1459.6721231219337</v>
      </c>
      <c r="X12" s="48">
        <f t="shared" ref="X12:AA13" si="22">+X66+X99+X114+X127</f>
        <v>375.30210196547938</v>
      </c>
      <c r="Y12" s="48">
        <f t="shared" si="22"/>
        <v>391.37490633538391</v>
      </c>
      <c r="Z12" s="48">
        <f t="shared" si="22"/>
        <v>404.78952170607175</v>
      </c>
      <c r="AA12" s="48">
        <f t="shared" si="22"/>
        <v>420.9655435828563</v>
      </c>
      <c r="AB12" s="49">
        <f t="shared" ref="AB12" si="23">SUM(X12:AA12)</f>
        <v>1592.4320735897913</v>
      </c>
      <c r="AC12" s="48">
        <f t="shared" ref="AC12:AF13" si="24">+AC66+AC99+AC114+AC127</f>
        <v>437.34646088019144</v>
      </c>
      <c r="AD12" s="48">
        <f t="shared" si="24"/>
        <v>450.04201051763891</v>
      </c>
      <c r="AE12" s="48">
        <f t="shared" si="24"/>
        <v>459.74983134804819</v>
      </c>
      <c r="AF12" s="48">
        <f t="shared" si="24"/>
        <v>472.46435477520987</v>
      </c>
      <c r="AG12" s="49">
        <f t="shared" si="15"/>
        <v>1819.6026575210883</v>
      </c>
      <c r="AH12" s="48">
        <f t="shared" ref="AH12:AK13" si="25">+AH66+AH99+AH114+AH127</f>
        <v>485.4921110494052</v>
      </c>
      <c r="AI12" s="48">
        <f t="shared" si="25"/>
        <v>495.22083113045761</v>
      </c>
      <c r="AJ12" s="48">
        <f t="shared" si="25"/>
        <v>502.1832554973912</v>
      </c>
      <c r="AK12" s="48">
        <f t="shared" si="25"/>
        <v>512.3158603861765</v>
      </c>
      <c r="AL12" s="49">
        <f t="shared" si="16"/>
        <v>1995.2120580634305</v>
      </c>
      <c r="AM12" s="48">
        <f t="shared" ref="AM12:AP13" si="26">+AM66+AM99+AM114+AM127</f>
        <v>522.97205188188184</v>
      </c>
      <c r="AN12" s="48">
        <f t="shared" si="26"/>
        <v>534.34978961287891</v>
      </c>
      <c r="AO12" s="48">
        <f t="shared" si="26"/>
        <v>542.44625512752634</v>
      </c>
      <c r="AP12" s="48">
        <f t="shared" si="26"/>
        <v>553.81189912716638</v>
      </c>
      <c r="AQ12" s="49">
        <f t="shared" si="17"/>
        <v>2153.5799957494532</v>
      </c>
      <c r="AR12" s="48">
        <f t="shared" ref="AR12:AU13" si="27">+AR66+AR99+AR114+AR127</f>
        <v>565.58895381794139</v>
      </c>
      <c r="AS12" s="48">
        <f t="shared" si="27"/>
        <v>577.18545176484758</v>
      </c>
      <c r="AT12" s="48">
        <f t="shared" si="27"/>
        <v>585.28811585448</v>
      </c>
      <c r="AU12" s="48">
        <f t="shared" si="27"/>
        <v>596.88948817681307</v>
      </c>
      <c r="AV12" s="49">
        <f t="shared" si="18"/>
        <v>2324.9520096140823</v>
      </c>
    </row>
    <row r="13" spans="1:48" ht="17.25" customHeight="1" outlineLevel="1" x14ac:dyDescent="0.3">
      <c r="B13" s="38" t="s">
        <v>83</v>
      </c>
      <c r="C13" s="18"/>
      <c r="D13" s="105">
        <v>448</v>
      </c>
      <c r="E13" s="105">
        <v>458.1</v>
      </c>
      <c r="F13" s="105">
        <v>459.7</v>
      </c>
      <c r="G13" s="105">
        <f t="shared" si="0"/>
        <v>458.29999999999984</v>
      </c>
      <c r="H13" s="170">
        <v>1824.1</v>
      </c>
      <c r="I13" s="105">
        <v>434.2</v>
      </c>
      <c r="J13" s="105">
        <v>406.5</v>
      </c>
      <c r="K13" s="105">
        <v>399.9</v>
      </c>
      <c r="L13" s="48">
        <v>439</v>
      </c>
      <c r="M13" s="170">
        <f t="shared" si="11"/>
        <v>1679.6</v>
      </c>
      <c r="N13" s="48">
        <v>472.1</v>
      </c>
      <c r="O13" s="105">
        <v>464.4</v>
      </c>
      <c r="P13" s="105">
        <v>494.9</v>
      </c>
      <c r="Q13" s="105">
        <v>501.2</v>
      </c>
      <c r="R13" s="170">
        <f t="shared" si="12"/>
        <v>1932.6000000000001</v>
      </c>
      <c r="S13" s="48">
        <v>525.79999999999995</v>
      </c>
      <c r="T13" s="48">
        <v>481.5</v>
      </c>
      <c r="U13" s="48">
        <v>486.7</v>
      </c>
      <c r="V13" s="48">
        <f>+V67+V100+V115+V128</f>
        <v>585.15732864887252</v>
      </c>
      <c r="W13" s="170">
        <f t="shared" si="13"/>
        <v>2079.1573286488724</v>
      </c>
      <c r="X13" s="48">
        <f t="shared" si="22"/>
        <v>542.76112092038784</v>
      </c>
      <c r="Y13" s="48">
        <f t="shared" si="22"/>
        <v>516.12701489731307</v>
      </c>
      <c r="Z13" s="48">
        <f t="shared" si="22"/>
        <v>532.33892503138804</v>
      </c>
      <c r="AA13" s="48">
        <f t="shared" si="22"/>
        <v>553.177839499024</v>
      </c>
      <c r="AB13" s="49">
        <f t="shared" si="14"/>
        <v>2144.4049003481132</v>
      </c>
      <c r="AC13" s="48">
        <f t="shared" si="24"/>
        <v>551.42441050601303</v>
      </c>
      <c r="AD13" s="48">
        <f t="shared" si="24"/>
        <v>551.50437387975376</v>
      </c>
      <c r="AE13" s="48">
        <f t="shared" si="24"/>
        <v>549.83180838207022</v>
      </c>
      <c r="AF13" s="48">
        <f t="shared" si="24"/>
        <v>573.78728606917855</v>
      </c>
      <c r="AG13" s="49">
        <f t="shared" si="15"/>
        <v>2226.5478788370156</v>
      </c>
      <c r="AH13" s="48">
        <f t="shared" si="25"/>
        <v>567.57976542236452</v>
      </c>
      <c r="AI13" s="48">
        <f t="shared" si="25"/>
        <v>567.93530050096217</v>
      </c>
      <c r="AJ13" s="48">
        <f t="shared" si="25"/>
        <v>565.37791475381823</v>
      </c>
      <c r="AK13" s="48">
        <f t="shared" si="25"/>
        <v>591.99041389706031</v>
      </c>
      <c r="AL13" s="49">
        <f t="shared" si="16"/>
        <v>2292.8833945742053</v>
      </c>
      <c r="AM13" s="48">
        <f t="shared" si="26"/>
        <v>595.40250702208357</v>
      </c>
      <c r="AN13" s="48">
        <f t="shared" si="26"/>
        <v>593.19195021888891</v>
      </c>
      <c r="AO13" s="48">
        <f t="shared" si="26"/>
        <v>588.92307284471519</v>
      </c>
      <c r="AP13" s="48">
        <f t="shared" si="26"/>
        <v>616.15102587948604</v>
      </c>
      <c r="AQ13" s="49">
        <f t="shared" si="17"/>
        <v>2393.6685559651737</v>
      </c>
      <c r="AR13" s="48">
        <f t="shared" si="27"/>
        <v>613.23542475422789</v>
      </c>
      <c r="AS13" s="48">
        <f t="shared" si="27"/>
        <v>610.61667774298451</v>
      </c>
      <c r="AT13" s="48">
        <f t="shared" si="27"/>
        <v>606.05730142078437</v>
      </c>
      <c r="AU13" s="48">
        <f t="shared" si="27"/>
        <v>635.17649235891781</v>
      </c>
      <c r="AV13" s="49">
        <f t="shared" si="18"/>
        <v>2465.0858962769144</v>
      </c>
    </row>
    <row r="14" spans="1:48" ht="17.25" customHeight="1" outlineLevel="1" x14ac:dyDescent="0.45">
      <c r="B14" s="38" t="s">
        <v>42</v>
      </c>
      <c r="C14" s="18"/>
      <c r="D14" s="104">
        <v>43.2</v>
      </c>
      <c r="E14" s="104">
        <v>43</v>
      </c>
      <c r="F14" s="104">
        <v>37.700000000000003</v>
      </c>
      <c r="G14" s="104">
        <f t="shared" si="0"/>
        <v>11.900000000000006</v>
      </c>
      <c r="H14" s="173">
        <v>135.80000000000001</v>
      </c>
      <c r="I14" s="104">
        <v>6.3</v>
      </c>
      <c r="J14" s="104">
        <v>-0.7</v>
      </c>
      <c r="K14" s="104">
        <v>78.099999999999994</v>
      </c>
      <c r="L14" s="104">
        <v>195</v>
      </c>
      <c r="M14" s="53">
        <f t="shared" ref="M14" si="28">SUM(I14:L14)</f>
        <v>278.7</v>
      </c>
      <c r="N14" s="52">
        <v>72.2</v>
      </c>
      <c r="O14" s="104">
        <v>23</v>
      </c>
      <c r="P14" s="104">
        <v>19.8</v>
      </c>
      <c r="Q14" s="104">
        <v>55.5</v>
      </c>
      <c r="R14" s="173">
        <f t="shared" ref="R14" si="29">SUM(N14:Q14)</f>
        <v>170.5</v>
      </c>
      <c r="S14" s="52">
        <v>-7.5</v>
      </c>
      <c r="T14" s="52">
        <v>4.4000000000000004</v>
      </c>
      <c r="U14" s="52">
        <v>14</v>
      </c>
      <c r="V14" s="52">
        <f>+V69+V102+V117+V129</f>
        <v>50</v>
      </c>
      <c r="W14" s="173">
        <f t="shared" ref="W14" si="30">SUM(S14:V14)</f>
        <v>60.9</v>
      </c>
      <c r="X14" s="52">
        <f>+X69+X102+X117+X129</f>
        <v>50</v>
      </c>
      <c r="Y14" s="52">
        <f>+Y69+Y102+Y117+Y129</f>
        <v>0</v>
      </c>
      <c r="Z14" s="52">
        <f>+Z69+Z102+Z117+Z129</f>
        <v>0</v>
      </c>
      <c r="AA14" s="52">
        <f>+AA69+AA102+AA117+AA129</f>
        <v>0</v>
      </c>
      <c r="AB14" s="53">
        <f t="shared" ref="AB14" si="31">SUM(X14:AA14)</f>
        <v>50</v>
      </c>
      <c r="AC14" s="52">
        <f>+AC69+AC102+AC117+AC129</f>
        <v>0</v>
      </c>
      <c r="AD14" s="52">
        <f>+AD69+AD102+AD117+AD129</f>
        <v>0</v>
      </c>
      <c r="AE14" s="52">
        <f>+AE69+AE102+AE117+AE129</f>
        <v>0</v>
      </c>
      <c r="AF14" s="52">
        <f>+AF69+AF102+AF117+AF129</f>
        <v>0</v>
      </c>
      <c r="AG14" s="53">
        <f t="shared" si="15"/>
        <v>0</v>
      </c>
      <c r="AH14" s="52">
        <f>+AH69+AH102+AH117+AH129</f>
        <v>0</v>
      </c>
      <c r="AI14" s="52">
        <f>+AI69+AI102+AI117+AI129</f>
        <v>0</v>
      </c>
      <c r="AJ14" s="52">
        <f>+AJ69+AJ102+AJ117+AJ129</f>
        <v>0</v>
      </c>
      <c r="AK14" s="52">
        <f>+AK69+AK102+AK117+AK129</f>
        <v>0</v>
      </c>
      <c r="AL14" s="53">
        <f t="shared" si="16"/>
        <v>0</v>
      </c>
      <c r="AM14" s="52">
        <f>+AM69+AM102+AM117+AM129</f>
        <v>0</v>
      </c>
      <c r="AN14" s="52">
        <f>+AN69+AN102+AN117+AN129</f>
        <v>0</v>
      </c>
      <c r="AO14" s="52">
        <f>+AO69+AO102+AO117+AO129</f>
        <v>0</v>
      </c>
      <c r="AP14" s="52">
        <f>+AP69+AP102+AP117+AP129</f>
        <v>0</v>
      </c>
      <c r="AQ14" s="53">
        <f t="shared" si="17"/>
        <v>0</v>
      </c>
      <c r="AR14" s="52">
        <f>+AR69+AR102+AR117+AR129</f>
        <v>0</v>
      </c>
      <c r="AS14" s="52">
        <f>+AS69+AS102+AS117+AS129</f>
        <v>0</v>
      </c>
      <c r="AT14" s="52">
        <f>+AT69+AT102+AT117+AT129</f>
        <v>0</v>
      </c>
      <c r="AU14" s="52">
        <f>+AU69+AU102+AU117+AU129</f>
        <v>0</v>
      </c>
      <c r="AV14" s="53">
        <f t="shared" si="18"/>
        <v>0</v>
      </c>
    </row>
    <row r="15" spans="1:48" s="20" customFormat="1" ht="17.25" customHeight="1" x14ac:dyDescent="0.45">
      <c r="B15" s="46" t="s">
        <v>8</v>
      </c>
      <c r="C15" s="19"/>
      <c r="D15" s="106">
        <f t="shared" ref="D15:AL15" si="32">SUM(D10:D14)+D9</f>
        <v>5684.8</v>
      </c>
      <c r="E15" s="106">
        <f t="shared" si="32"/>
        <v>5510.5</v>
      </c>
      <c r="F15" s="106">
        <f t="shared" si="32"/>
        <v>5777.6999999999989</v>
      </c>
      <c r="G15" s="106">
        <f t="shared" si="32"/>
        <v>5755.7</v>
      </c>
      <c r="H15" s="175">
        <f t="shared" si="32"/>
        <v>22728.699999999997</v>
      </c>
      <c r="I15" s="106">
        <f t="shared" si="32"/>
        <v>5951.2000000000007</v>
      </c>
      <c r="J15" s="106">
        <f t="shared" si="32"/>
        <v>5576.2000000000007</v>
      </c>
      <c r="K15" s="106">
        <f t="shared" si="32"/>
        <v>4994.3999999999996</v>
      </c>
      <c r="L15" s="54">
        <f t="shared" si="32"/>
        <v>5757</v>
      </c>
      <c r="M15" s="55">
        <f t="shared" si="32"/>
        <v>22278.799999999999</v>
      </c>
      <c r="N15" s="54">
        <f t="shared" si="32"/>
        <v>5918.6</v>
      </c>
      <c r="O15" s="106">
        <f t="shared" si="32"/>
        <v>5757.5</v>
      </c>
      <c r="P15" s="106">
        <f>SUM(P10:P14)+P9</f>
        <v>6113.3000000000011</v>
      </c>
      <c r="Q15" s="106">
        <f>SUM(Q10:Q14)+Q9</f>
        <v>6784.5</v>
      </c>
      <c r="R15" s="175">
        <f t="shared" si="32"/>
        <v>24573.9</v>
      </c>
      <c r="S15" s="54">
        <f t="shared" si="32"/>
        <v>6912.9</v>
      </c>
      <c r="T15" s="54">
        <f t="shared" si="32"/>
        <v>6735.7999999999993</v>
      </c>
      <c r="U15" s="54">
        <f t="shared" si="32"/>
        <v>6908.7000000000007</v>
      </c>
      <c r="V15" s="54">
        <f t="shared" si="32"/>
        <v>7234.9448779717168</v>
      </c>
      <c r="W15" s="175">
        <f t="shared" si="32"/>
        <v>27792.344877971722</v>
      </c>
      <c r="X15" s="54">
        <f t="shared" si="32"/>
        <v>7565.381935048521</v>
      </c>
      <c r="Y15" s="54">
        <f t="shared" si="32"/>
        <v>7339.7580802999237</v>
      </c>
      <c r="Z15" s="54">
        <f t="shared" si="32"/>
        <v>7827.7350752801012</v>
      </c>
      <c r="AA15" s="54">
        <f t="shared" si="32"/>
        <v>7924.2019745583893</v>
      </c>
      <c r="AB15" s="55">
        <f t="shared" si="32"/>
        <v>30657.077065186935</v>
      </c>
      <c r="AC15" s="54">
        <f t="shared" si="32"/>
        <v>8228.6473555143093</v>
      </c>
      <c r="AD15" s="54">
        <f t="shared" si="32"/>
        <v>7962.1579098505699</v>
      </c>
      <c r="AE15" s="54">
        <f t="shared" si="32"/>
        <v>8543.2379664785039</v>
      </c>
      <c r="AF15" s="54">
        <f t="shared" si="32"/>
        <v>8820.7433408108463</v>
      </c>
      <c r="AG15" s="55">
        <f t="shared" si="32"/>
        <v>33554.78657265423</v>
      </c>
      <c r="AH15" s="54">
        <f t="shared" si="32"/>
        <v>9092.4287083282034</v>
      </c>
      <c r="AI15" s="54">
        <f t="shared" si="32"/>
        <v>8784.3631930197425</v>
      </c>
      <c r="AJ15" s="54">
        <f t="shared" si="32"/>
        <v>9363.416823493164</v>
      </c>
      <c r="AK15" s="54">
        <f t="shared" si="32"/>
        <v>9755.405557532762</v>
      </c>
      <c r="AL15" s="55">
        <f t="shared" si="32"/>
        <v>36995.61428237387</v>
      </c>
      <c r="AM15" s="54">
        <f t="shared" ref="AM15:AQ15" si="33">SUM(AM10:AM14)+AM9</f>
        <v>9960.6936134413954</v>
      </c>
      <c r="AN15" s="54">
        <f t="shared" si="33"/>
        <v>9576.4592935510864</v>
      </c>
      <c r="AO15" s="54">
        <f t="shared" si="33"/>
        <v>10187.756519452056</v>
      </c>
      <c r="AP15" s="54">
        <f t="shared" si="33"/>
        <v>10587.3915894858</v>
      </c>
      <c r="AQ15" s="55">
        <f t="shared" si="33"/>
        <v>40312.301015930338</v>
      </c>
      <c r="AR15" s="54">
        <f t="shared" ref="AR15:AV15" si="34">SUM(AR10:AR14)+AR9</f>
        <v>10608.79442365015</v>
      </c>
      <c r="AS15" s="54">
        <f t="shared" si="34"/>
        <v>10191.286880337879</v>
      </c>
      <c r="AT15" s="54">
        <f t="shared" si="34"/>
        <v>10841.516638209338</v>
      </c>
      <c r="AU15" s="54">
        <f t="shared" si="34"/>
        <v>11267.816963351979</v>
      </c>
      <c r="AV15" s="55">
        <f t="shared" si="34"/>
        <v>42909.41490554934</v>
      </c>
    </row>
    <row r="16" spans="1:48" s="23" customFormat="1" ht="17.25" customHeight="1" x14ac:dyDescent="0.45">
      <c r="B16" s="442" t="s">
        <v>36</v>
      </c>
      <c r="C16" s="443"/>
      <c r="D16" s="104">
        <v>67.8</v>
      </c>
      <c r="E16" s="104">
        <v>62.3</v>
      </c>
      <c r="F16" s="104">
        <v>76</v>
      </c>
      <c r="G16" s="104">
        <f t="shared" si="0"/>
        <v>91.899999999999991</v>
      </c>
      <c r="H16" s="173">
        <v>298</v>
      </c>
      <c r="I16" s="104">
        <v>73.900000000000006</v>
      </c>
      <c r="J16" s="104">
        <v>67.900000000000006</v>
      </c>
      <c r="K16" s="104">
        <v>68.400000000000006</v>
      </c>
      <c r="L16" s="52">
        <v>112.2</v>
      </c>
      <c r="M16" s="53">
        <f t="shared" ref="M16" si="35">SUM(I16:L16)</f>
        <v>322.40000000000003</v>
      </c>
      <c r="N16" s="52">
        <v>82.7</v>
      </c>
      <c r="O16" s="104">
        <v>77.099999999999994</v>
      </c>
      <c r="P16" s="104">
        <v>105.5</v>
      </c>
      <c r="Q16" s="104">
        <v>120</v>
      </c>
      <c r="R16" s="173">
        <f t="shared" ref="R16" si="36">SUM(N16:Q16)</f>
        <v>385.3</v>
      </c>
      <c r="S16" s="52">
        <v>40.299999999999997</v>
      </c>
      <c r="T16" s="52">
        <v>49.1</v>
      </c>
      <c r="U16" s="52">
        <v>54.1</v>
      </c>
      <c r="V16" s="52">
        <f>+V104+V119</f>
        <v>54.1</v>
      </c>
      <c r="W16" s="173">
        <f t="shared" ref="W16" si="37">SUM(S16:V16)</f>
        <v>197.6</v>
      </c>
      <c r="X16" s="52">
        <f>+X104+X119</f>
        <v>54.1</v>
      </c>
      <c r="Y16" s="52">
        <f>+Y104+Y119</f>
        <v>54.2</v>
      </c>
      <c r="Z16" s="52">
        <f>+Z104+Z119</f>
        <v>54.300000000000004</v>
      </c>
      <c r="AA16" s="52">
        <f>+AA104+AA119</f>
        <v>54.400000000000006</v>
      </c>
      <c r="AB16" s="53">
        <f t="shared" ref="AB16" si="38">SUM(X16:AA16)</f>
        <v>217.00000000000003</v>
      </c>
      <c r="AC16" s="52">
        <f>+AC104+AC119</f>
        <v>54.7</v>
      </c>
      <c r="AD16" s="52">
        <f>+AD104+AD119</f>
        <v>54.7</v>
      </c>
      <c r="AE16" s="52">
        <f>+AE104+AE119</f>
        <v>54.7</v>
      </c>
      <c r="AF16" s="52">
        <f>+AF104+AF119</f>
        <v>54.7</v>
      </c>
      <c r="AG16" s="53">
        <f t="shared" ref="AG16" si="39">SUM(AC16:AF16)</f>
        <v>218.8</v>
      </c>
      <c r="AH16" s="52">
        <f>+AH104+AH119</f>
        <v>54.7</v>
      </c>
      <c r="AI16" s="52">
        <f>+AI104+AI119</f>
        <v>54.7</v>
      </c>
      <c r="AJ16" s="52">
        <f>+AJ104+AJ119</f>
        <v>54.7</v>
      </c>
      <c r="AK16" s="52">
        <f>+AK104+AK119</f>
        <v>54.7</v>
      </c>
      <c r="AL16" s="53">
        <f t="shared" ref="AL16" si="40">SUM(AH16:AK16)</f>
        <v>218.8</v>
      </c>
      <c r="AM16" s="52">
        <f>+AM104+AM119</f>
        <v>54.7</v>
      </c>
      <c r="AN16" s="52">
        <f>+AN104+AN119</f>
        <v>54.7</v>
      </c>
      <c r="AO16" s="52">
        <f>+AO104+AO119</f>
        <v>54.7</v>
      </c>
      <c r="AP16" s="52">
        <f>+AP104+AP119</f>
        <v>54.7</v>
      </c>
      <c r="AQ16" s="53">
        <f t="shared" ref="AQ16" si="41">SUM(AM16:AP16)</f>
        <v>218.8</v>
      </c>
      <c r="AR16" s="52">
        <f>+AR104+AR119</f>
        <v>54.7</v>
      </c>
      <c r="AS16" s="52">
        <f>+AS104+AS119</f>
        <v>54.7</v>
      </c>
      <c r="AT16" s="52">
        <f>+AT104+AT119</f>
        <v>54.7</v>
      </c>
      <c r="AU16" s="52">
        <f>+AU104+AU119</f>
        <v>54.7</v>
      </c>
      <c r="AV16" s="53">
        <f t="shared" ref="AV16" si="42">SUM(AR16:AU16)</f>
        <v>218.8</v>
      </c>
    </row>
    <row r="17" spans="1:48" x14ac:dyDescent="0.3">
      <c r="B17" s="135" t="s">
        <v>10</v>
      </c>
      <c r="C17" s="136"/>
      <c r="D17" s="103">
        <f t="shared" ref="D17:AQ17" si="43">D8-D15+D16</f>
        <v>1015.7000000000005</v>
      </c>
      <c r="E17" s="103">
        <f t="shared" si="43"/>
        <v>857.69999999999959</v>
      </c>
      <c r="F17" s="103">
        <f t="shared" si="43"/>
        <v>1121.3000000000011</v>
      </c>
      <c r="G17" s="103">
        <f t="shared" si="43"/>
        <v>1083.2000000000012</v>
      </c>
      <c r="H17" s="171">
        <f t="shared" si="43"/>
        <v>4077.9000000000051</v>
      </c>
      <c r="I17" s="103">
        <f t="shared" si="43"/>
        <v>1219.7999999999988</v>
      </c>
      <c r="J17" s="103">
        <f t="shared" si="43"/>
        <v>487.39999999999907</v>
      </c>
      <c r="K17" s="103">
        <f t="shared" si="43"/>
        <v>-703.8999999999993</v>
      </c>
      <c r="L17" s="50">
        <f t="shared" si="43"/>
        <v>558.30000000000041</v>
      </c>
      <c r="M17" s="51">
        <f t="shared" si="43"/>
        <v>1561.6000000000045</v>
      </c>
      <c r="N17" s="50">
        <f t="shared" si="43"/>
        <v>913.50000000000023</v>
      </c>
      <c r="O17" s="103">
        <f t="shared" si="43"/>
        <v>987.6</v>
      </c>
      <c r="P17" s="103">
        <f>P8-P15+P16</f>
        <v>1488.6999999999989</v>
      </c>
      <c r="Q17" s="103">
        <f>Q8-Q15+Q16</f>
        <v>1482.1999999999998</v>
      </c>
      <c r="R17" s="171">
        <f t="shared" si="43"/>
        <v>4871.9999999999973</v>
      </c>
      <c r="S17" s="50">
        <f t="shared" si="43"/>
        <v>1177.8</v>
      </c>
      <c r="T17" s="50">
        <f t="shared" si="43"/>
        <v>948.9000000000002</v>
      </c>
      <c r="U17" s="50">
        <f t="shared" si="43"/>
        <v>1295.4999999999995</v>
      </c>
      <c r="V17" s="50">
        <f t="shared" si="43"/>
        <v>1106.8835609451121</v>
      </c>
      <c r="W17" s="171">
        <f t="shared" si="43"/>
        <v>4529.0835609451042</v>
      </c>
      <c r="X17" s="50">
        <f t="shared" si="43"/>
        <v>1157.0200909464743</v>
      </c>
      <c r="Y17" s="50">
        <f t="shared" si="43"/>
        <v>1107.4156341339633</v>
      </c>
      <c r="Z17" s="50">
        <f t="shared" si="43"/>
        <v>1417.3730833855104</v>
      </c>
      <c r="AA17" s="50">
        <f t="shared" si="43"/>
        <v>1529.2551664165953</v>
      </c>
      <c r="AB17" s="51">
        <f t="shared" si="43"/>
        <v>5211.0639748825452</v>
      </c>
      <c r="AC17" s="50">
        <f t="shared" si="43"/>
        <v>1562.3186303071755</v>
      </c>
      <c r="AD17" s="50">
        <f t="shared" si="43"/>
        <v>1297.7843273790525</v>
      </c>
      <c r="AE17" s="50">
        <f t="shared" si="43"/>
        <v>1600.4493556014743</v>
      </c>
      <c r="AF17" s="50">
        <f t="shared" si="43"/>
        <v>1583.020447229733</v>
      </c>
      <c r="AG17" s="51">
        <f t="shared" si="43"/>
        <v>6043.572760517437</v>
      </c>
      <c r="AH17" s="50">
        <f t="shared" si="43"/>
        <v>1820.4732418221386</v>
      </c>
      <c r="AI17" s="50">
        <f t="shared" si="43"/>
        <v>1528.4975455599499</v>
      </c>
      <c r="AJ17" s="50">
        <f t="shared" si="43"/>
        <v>1941.4353282223904</v>
      </c>
      <c r="AK17" s="50">
        <f t="shared" si="43"/>
        <v>1863.8561066296727</v>
      </c>
      <c r="AL17" s="51">
        <f t="shared" si="43"/>
        <v>7154.2622222341497</v>
      </c>
      <c r="AM17" s="50">
        <f t="shared" si="43"/>
        <v>2039.2045585748976</v>
      </c>
      <c r="AN17" s="50">
        <f t="shared" si="43"/>
        <v>1706.1639819015629</v>
      </c>
      <c r="AO17" s="50">
        <f t="shared" si="43"/>
        <v>2135.6768576086351</v>
      </c>
      <c r="AP17" s="50">
        <f t="shared" si="43"/>
        <v>2041.1115527760642</v>
      </c>
      <c r="AQ17" s="51">
        <f t="shared" si="43"/>
        <v>7922.1569508611619</v>
      </c>
      <c r="AR17" s="50">
        <f t="shared" ref="AR17:AV17" si="44">AR8-AR15+AR16</f>
        <v>2168.045897422634</v>
      </c>
      <c r="AS17" s="50">
        <f t="shared" si="44"/>
        <v>1812.9913620688305</v>
      </c>
      <c r="AT17" s="50">
        <f t="shared" si="44"/>
        <v>2267.7516158585468</v>
      </c>
      <c r="AU17" s="50">
        <f t="shared" si="44"/>
        <v>2169.8217984513785</v>
      </c>
      <c r="AV17" s="51">
        <f t="shared" si="44"/>
        <v>8418.6106738014023</v>
      </c>
    </row>
    <row r="18" spans="1:48" ht="16.2" x14ac:dyDescent="0.45">
      <c r="B18" s="123" t="s">
        <v>70</v>
      </c>
      <c r="C18" s="88"/>
      <c r="D18" s="107">
        <f>+D170</f>
        <v>138</v>
      </c>
      <c r="E18" s="107">
        <f>+E170</f>
        <v>141.4</v>
      </c>
      <c r="F18" s="107">
        <f>+F170</f>
        <v>125.30000000000001</v>
      </c>
      <c r="G18" s="107">
        <f>+G170</f>
        <v>77.399999999999991</v>
      </c>
      <c r="H18" s="176">
        <f>SUM(D18:G18)</f>
        <v>482.09999999999997</v>
      </c>
      <c r="I18" s="107">
        <f>+I170</f>
        <v>71.599999999999994</v>
      </c>
      <c r="J18" s="107">
        <f>+J170</f>
        <v>66.8</v>
      </c>
      <c r="K18" s="107">
        <f>+K170</f>
        <v>173.67999999999998</v>
      </c>
      <c r="L18" s="89">
        <f>+L170</f>
        <v>259.5</v>
      </c>
      <c r="M18" s="90">
        <f>SUM(I18:L18)</f>
        <v>571.57999999999993</v>
      </c>
      <c r="N18" s="107">
        <f>+N170</f>
        <v>134.9</v>
      </c>
      <c r="O18" s="107">
        <f>+O170</f>
        <v>88.2</v>
      </c>
      <c r="P18" s="107">
        <f>+P170</f>
        <v>51.7</v>
      </c>
      <c r="Q18" s="107">
        <f>+Q170</f>
        <v>115.2</v>
      </c>
      <c r="R18" s="176">
        <f>SUM(N18:Q18)</f>
        <v>390</v>
      </c>
      <c r="S18" s="89">
        <f>+S170</f>
        <v>35.199999999999996</v>
      </c>
      <c r="T18" s="89">
        <f>+T170</f>
        <v>47.5</v>
      </c>
      <c r="U18" s="89">
        <f>+U170</f>
        <v>77.5</v>
      </c>
      <c r="V18" s="89">
        <f>+V170</f>
        <v>114</v>
      </c>
      <c r="W18" s="176">
        <f>SUM(S18:V18)</f>
        <v>274.2</v>
      </c>
      <c r="X18" s="89">
        <f>+X170</f>
        <v>114</v>
      </c>
      <c r="Y18" s="89">
        <f>+Y170</f>
        <v>64</v>
      </c>
      <c r="Z18" s="89">
        <f>+Z170</f>
        <v>64</v>
      </c>
      <c r="AA18" s="89">
        <f>+AA170</f>
        <v>64</v>
      </c>
      <c r="AB18" s="90">
        <f>SUM(X18:AA18)</f>
        <v>306</v>
      </c>
      <c r="AC18" s="89">
        <f t="shared" ref="AC18:AF18" si="45">+AC170</f>
        <v>64</v>
      </c>
      <c r="AD18" s="89">
        <f t="shared" si="45"/>
        <v>64</v>
      </c>
      <c r="AE18" s="89">
        <f t="shared" si="45"/>
        <v>64</v>
      </c>
      <c r="AF18" s="89">
        <f t="shared" si="45"/>
        <v>64</v>
      </c>
      <c r="AG18" s="90">
        <f>SUM(AC18:AF18)</f>
        <v>256</v>
      </c>
      <c r="AH18" s="89">
        <f t="shared" ref="AH18:AK18" si="46">+AH170</f>
        <v>64</v>
      </c>
      <c r="AI18" s="89">
        <f t="shared" si="46"/>
        <v>64</v>
      </c>
      <c r="AJ18" s="89">
        <f t="shared" si="46"/>
        <v>64</v>
      </c>
      <c r="AK18" s="89">
        <f t="shared" si="46"/>
        <v>64</v>
      </c>
      <c r="AL18" s="90">
        <f>SUM(AH18:AK18)</f>
        <v>256</v>
      </c>
      <c r="AM18" s="89">
        <f t="shared" ref="AM18:AP18" si="47">+AM170</f>
        <v>64</v>
      </c>
      <c r="AN18" s="89">
        <f t="shared" si="47"/>
        <v>64</v>
      </c>
      <c r="AO18" s="89">
        <f t="shared" si="47"/>
        <v>64</v>
      </c>
      <c r="AP18" s="89">
        <f t="shared" si="47"/>
        <v>64</v>
      </c>
      <c r="AQ18" s="90">
        <f>SUM(AM18:AP18)</f>
        <v>256</v>
      </c>
      <c r="AR18" s="89">
        <f t="shared" ref="AR18:AU18" si="48">+AR170</f>
        <v>64</v>
      </c>
      <c r="AS18" s="89">
        <f t="shared" si="48"/>
        <v>64</v>
      </c>
      <c r="AT18" s="89">
        <f t="shared" si="48"/>
        <v>64</v>
      </c>
      <c r="AU18" s="89">
        <f t="shared" si="48"/>
        <v>64</v>
      </c>
      <c r="AV18" s="90">
        <f>SUM(AR18:AU18)</f>
        <v>256</v>
      </c>
    </row>
    <row r="19" spans="1:48" x14ac:dyDescent="0.3">
      <c r="B19" s="124" t="s">
        <v>71</v>
      </c>
      <c r="C19" s="79"/>
      <c r="D19" s="108">
        <f t="shared" ref="D19:AQ19" si="49">+D17+D18</f>
        <v>1153.7000000000005</v>
      </c>
      <c r="E19" s="108">
        <f t="shared" si="49"/>
        <v>999.09999999999957</v>
      </c>
      <c r="F19" s="108">
        <f t="shared" si="49"/>
        <v>1246.600000000001</v>
      </c>
      <c r="G19" s="108">
        <f t="shared" si="49"/>
        <v>1160.6000000000013</v>
      </c>
      <c r="H19" s="177">
        <f t="shared" si="49"/>
        <v>4560.0000000000055</v>
      </c>
      <c r="I19" s="108">
        <f t="shared" si="49"/>
        <v>1291.3999999999987</v>
      </c>
      <c r="J19" s="108">
        <f t="shared" si="49"/>
        <v>554.19999999999902</v>
      </c>
      <c r="K19" s="108">
        <f t="shared" si="49"/>
        <v>-530.21999999999935</v>
      </c>
      <c r="L19" s="80">
        <f t="shared" si="49"/>
        <v>817.80000000000041</v>
      </c>
      <c r="M19" s="81">
        <f t="shared" si="49"/>
        <v>2133.1800000000044</v>
      </c>
      <c r="N19" s="108">
        <f t="shared" si="49"/>
        <v>1048.4000000000003</v>
      </c>
      <c r="O19" s="108">
        <f t="shared" si="49"/>
        <v>1075.8</v>
      </c>
      <c r="P19" s="108">
        <f t="shared" si="49"/>
        <v>1540.399999999999</v>
      </c>
      <c r="Q19" s="108">
        <f t="shared" si="49"/>
        <v>1597.3999999999999</v>
      </c>
      <c r="R19" s="177">
        <f t="shared" si="49"/>
        <v>5261.9999999999973</v>
      </c>
      <c r="S19" s="80">
        <f t="shared" si="49"/>
        <v>1213</v>
      </c>
      <c r="T19" s="80">
        <f t="shared" si="49"/>
        <v>996.4000000000002</v>
      </c>
      <c r="U19" s="80">
        <f t="shared" si="49"/>
        <v>1372.9999999999995</v>
      </c>
      <c r="V19" s="80">
        <f t="shared" si="49"/>
        <v>1220.8835609451121</v>
      </c>
      <c r="W19" s="177">
        <f t="shared" si="49"/>
        <v>4803.283560945104</v>
      </c>
      <c r="X19" s="80">
        <f t="shared" si="49"/>
        <v>1271.0200909464743</v>
      </c>
      <c r="Y19" s="80">
        <f t="shared" si="49"/>
        <v>1171.4156341339633</v>
      </c>
      <c r="Z19" s="80">
        <f t="shared" si="49"/>
        <v>1481.3730833855104</v>
      </c>
      <c r="AA19" s="80">
        <f t="shared" si="49"/>
        <v>1593.2551664165953</v>
      </c>
      <c r="AB19" s="81">
        <f t="shared" si="49"/>
        <v>5517.0639748825452</v>
      </c>
      <c r="AC19" s="80">
        <f t="shared" si="49"/>
        <v>1626.3186303071755</v>
      </c>
      <c r="AD19" s="80">
        <f t="shared" si="49"/>
        <v>1361.7843273790525</v>
      </c>
      <c r="AE19" s="80">
        <f t="shared" si="49"/>
        <v>1664.4493556014743</v>
      </c>
      <c r="AF19" s="80">
        <f t="shared" si="49"/>
        <v>1647.020447229733</v>
      </c>
      <c r="AG19" s="81">
        <f t="shared" si="49"/>
        <v>6299.572760517437</v>
      </c>
      <c r="AH19" s="80">
        <f t="shared" si="49"/>
        <v>1884.4732418221386</v>
      </c>
      <c r="AI19" s="80">
        <f t="shared" si="49"/>
        <v>1592.4975455599499</v>
      </c>
      <c r="AJ19" s="80">
        <f t="shared" si="49"/>
        <v>2005.4353282223904</v>
      </c>
      <c r="AK19" s="80">
        <f t="shared" si="49"/>
        <v>1927.8561066296727</v>
      </c>
      <c r="AL19" s="81">
        <f t="shared" si="49"/>
        <v>7410.2622222341497</v>
      </c>
      <c r="AM19" s="80">
        <f t="shared" si="49"/>
        <v>2103.2045585748974</v>
      </c>
      <c r="AN19" s="80">
        <f t="shared" si="49"/>
        <v>1770.1639819015629</v>
      </c>
      <c r="AO19" s="80">
        <f t="shared" si="49"/>
        <v>2199.6768576086351</v>
      </c>
      <c r="AP19" s="80">
        <f t="shared" si="49"/>
        <v>2105.1115527760639</v>
      </c>
      <c r="AQ19" s="81">
        <f t="shared" si="49"/>
        <v>8178.1569508611619</v>
      </c>
      <c r="AR19" s="80">
        <f t="shared" ref="AR19:AV19" si="50">+AR17+AR18</f>
        <v>2232.045897422634</v>
      </c>
      <c r="AS19" s="80">
        <f t="shared" si="50"/>
        <v>1876.9913620688305</v>
      </c>
      <c r="AT19" s="80">
        <f t="shared" si="50"/>
        <v>2331.7516158585468</v>
      </c>
      <c r="AU19" s="80">
        <f t="shared" si="50"/>
        <v>2233.8217984513785</v>
      </c>
      <c r="AV19" s="81">
        <f t="shared" si="50"/>
        <v>8674.6106738014023</v>
      </c>
    </row>
    <row r="20" spans="1:48" x14ac:dyDescent="0.3">
      <c r="B20" s="38" t="s">
        <v>63</v>
      </c>
      <c r="C20" s="18"/>
      <c r="D20" s="105">
        <v>0</v>
      </c>
      <c r="E20" s="105">
        <v>21</v>
      </c>
      <c r="F20" s="105">
        <v>601.79999999999995</v>
      </c>
      <c r="G20" s="105">
        <f t="shared" ref="G20:G22" si="51">H20-F20-E20-D20</f>
        <v>0</v>
      </c>
      <c r="H20" s="170">
        <v>622.79999999999995</v>
      </c>
      <c r="I20" s="105">
        <v>0</v>
      </c>
      <c r="J20" s="105">
        <v>0</v>
      </c>
      <c r="K20" s="105">
        <v>0</v>
      </c>
      <c r="L20" s="105">
        <v>0</v>
      </c>
      <c r="M20" s="170">
        <f>SUM(I20:L20)</f>
        <v>0</v>
      </c>
      <c r="N20" s="105">
        <v>0</v>
      </c>
      <c r="O20" s="105">
        <v>0</v>
      </c>
      <c r="P20" s="105">
        <v>0</v>
      </c>
      <c r="Q20" s="105">
        <v>864.5</v>
      </c>
      <c r="R20" s="170">
        <f>SUM(N20:Q20)</f>
        <v>864.5</v>
      </c>
      <c r="S20" s="105">
        <v>0</v>
      </c>
      <c r="T20" s="105">
        <v>0</v>
      </c>
      <c r="U20" s="105">
        <v>0</v>
      </c>
      <c r="V20" s="105">
        <v>0</v>
      </c>
      <c r="W20" s="170">
        <f>SUM(S20:V20)</f>
        <v>0</v>
      </c>
      <c r="X20" s="105">
        <v>0</v>
      </c>
      <c r="Y20" s="105">
        <v>0</v>
      </c>
      <c r="Z20" s="105">
        <v>0</v>
      </c>
      <c r="AA20" s="105">
        <v>0</v>
      </c>
      <c r="AB20" s="170">
        <f>SUM(X20:AA20)</f>
        <v>0</v>
      </c>
      <c r="AC20" s="105">
        <v>0</v>
      </c>
      <c r="AD20" s="105">
        <v>0</v>
      </c>
      <c r="AE20" s="105">
        <v>0</v>
      </c>
      <c r="AF20" s="105">
        <v>0</v>
      </c>
      <c r="AG20" s="170">
        <f>SUM(AC20:AF20)</f>
        <v>0</v>
      </c>
      <c r="AH20" s="105">
        <v>0</v>
      </c>
      <c r="AI20" s="105">
        <v>0</v>
      </c>
      <c r="AJ20" s="105">
        <v>0</v>
      </c>
      <c r="AK20" s="105">
        <v>0</v>
      </c>
      <c r="AL20" s="170">
        <f>SUM(AH20:AK20)</f>
        <v>0</v>
      </c>
      <c r="AM20" s="105">
        <v>0</v>
      </c>
      <c r="AN20" s="105">
        <v>0</v>
      </c>
      <c r="AO20" s="105">
        <v>0</v>
      </c>
      <c r="AP20" s="105">
        <v>0</v>
      </c>
      <c r="AQ20" s="170">
        <f>SUM(AM20:AP20)</f>
        <v>0</v>
      </c>
      <c r="AR20" s="105">
        <v>0</v>
      </c>
      <c r="AS20" s="105">
        <v>0</v>
      </c>
      <c r="AT20" s="105">
        <v>0</v>
      </c>
      <c r="AU20" s="105">
        <v>0</v>
      </c>
      <c r="AV20" s="170">
        <f>SUM(AR20:AU20)</f>
        <v>0</v>
      </c>
    </row>
    <row r="21" spans="1:48" x14ac:dyDescent="0.3">
      <c r="B21" s="38" t="s">
        <v>37</v>
      </c>
      <c r="C21" s="18"/>
      <c r="D21" s="105">
        <v>24.8</v>
      </c>
      <c r="E21" s="105">
        <v>15.2</v>
      </c>
      <c r="F21" s="102">
        <v>40.200000000000003</v>
      </c>
      <c r="G21" s="105">
        <f t="shared" si="51"/>
        <v>16.299999999999994</v>
      </c>
      <c r="H21" s="170">
        <v>96.5</v>
      </c>
      <c r="I21" s="105">
        <v>15.9</v>
      </c>
      <c r="J21" s="105">
        <v>2</v>
      </c>
      <c r="K21" s="105">
        <v>12.7</v>
      </c>
      <c r="L21" s="105">
        <v>9.1</v>
      </c>
      <c r="M21" s="170">
        <f t="shared" ref="M21:M22" si="52">SUM(I21:L21)</f>
        <v>39.699999999999996</v>
      </c>
      <c r="N21" s="105">
        <v>15.5</v>
      </c>
      <c r="O21" s="105">
        <v>17.3</v>
      </c>
      <c r="P21" s="105">
        <v>36</v>
      </c>
      <c r="Q21" s="105">
        <v>21.5</v>
      </c>
      <c r="R21" s="170">
        <f t="shared" ref="R21" si="53">SUM(N21:Q21)</f>
        <v>90.3</v>
      </c>
      <c r="S21" s="105">
        <v>-0.1</v>
      </c>
      <c r="T21" s="105">
        <v>46.3</v>
      </c>
      <c r="U21" s="105">
        <v>19.8</v>
      </c>
      <c r="V21" s="105">
        <f>('Balance Sheet'!U6+'Balance Sheet'!U7+'Balance Sheet'!U12)*'Income Statement &amp; Segments'!V144</f>
        <v>21.215247784595928</v>
      </c>
      <c r="W21" s="170">
        <f t="shared" ref="W21" si="54">SUM(S21:V21)</f>
        <v>87.215247784595931</v>
      </c>
      <c r="X21" s="105">
        <f>('Balance Sheet'!V6+'Balance Sheet'!V7+'Balance Sheet'!V12)*'Income Statement &amp; Segments'!X144</f>
        <v>30.755283736014132</v>
      </c>
      <c r="Y21" s="105">
        <f>('Balance Sheet'!X6+'Balance Sheet'!X7+'Balance Sheet'!X12)*'Income Statement &amp; Segments'!Y144</f>
        <v>54.517429100407341</v>
      </c>
      <c r="Z21" s="105">
        <f>('Balance Sheet'!Y6+'Balance Sheet'!Y7+'Balance Sheet'!Y12)*'Income Statement &amp; Segments'!Z144</f>
        <v>47.668463360912277</v>
      </c>
      <c r="AA21" s="105">
        <f>('Balance Sheet'!Z6+'Balance Sheet'!Z7+'Balance Sheet'!Z12)*'Income Statement &amp; Segments'!AA144</f>
        <v>28.034316718811734</v>
      </c>
      <c r="AB21" s="170">
        <f t="shared" ref="AB21" si="55">SUM(X21:AA21)</f>
        <v>160.9754929161455</v>
      </c>
      <c r="AC21" s="105">
        <f>('Balance Sheet'!AA6+'Balance Sheet'!AA7+'Balance Sheet'!AA12)*'Income Statement &amp; Segments'!AC144</f>
        <v>33.124893625949944</v>
      </c>
      <c r="AD21" s="105">
        <f>('Balance Sheet'!AC6+'Balance Sheet'!AC7+'Balance Sheet'!AC12)*'Income Statement &amp; Segments'!AD144</f>
        <v>39.980882250174879</v>
      </c>
      <c r="AE21" s="105">
        <f>('Balance Sheet'!AD6+'Balance Sheet'!AD7+'Balance Sheet'!AD12)*'Income Statement &amp; Segments'!AE144</f>
        <v>37.931444644824879</v>
      </c>
      <c r="AF21" s="105">
        <f>('Balance Sheet'!AE6+'Balance Sheet'!AE7+'Balance Sheet'!AE12)*'Income Statement &amp; Segments'!AF144</f>
        <v>38.2840264704503</v>
      </c>
      <c r="AG21" s="170">
        <f t="shared" ref="AG21:AG22" si="56">SUM(AC21:AF21)</f>
        <v>149.32124699140002</v>
      </c>
      <c r="AH21" s="105">
        <f>('Balance Sheet'!AF6+'Balance Sheet'!AF7+'Balance Sheet'!AF12)*'Income Statement &amp; Segments'!AH144</f>
        <v>42.934701355133072</v>
      </c>
      <c r="AI21" s="105">
        <f>('Balance Sheet'!AH6+'Balance Sheet'!AH7+'Balance Sheet'!AH12)*'Income Statement &amp; Segments'!AI144</f>
        <v>50.462326735658735</v>
      </c>
      <c r="AJ21" s="105">
        <f>('Balance Sheet'!AI6+'Balance Sheet'!AI7+'Balance Sheet'!AI12)*'Income Statement &amp; Segments'!AJ144</f>
        <v>48.431659720053787</v>
      </c>
      <c r="AK21" s="105">
        <f>('Balance Sheet'!AJ6+'Balance Sheet'!AJ7+'Balance Sheet'!AJ12)*'Income Statement &amp; Segments'!AK144</f>
        <v>51.566724219566701</v>
      </c>
      <c r="AL21" s="170">
        <f t="shared" ref="AL21:AL22" si="57">SUM(AH21:AK21)</f>
        <v>193.3954120304123</v>
      </c>
      <c r="AM21" s="105">
        <f>('Balance Sheet'!AK6+'Balance Sheet'!AK7+'Balance Sheet'!AK12)*'Income Statement &amp; Segments'!AM144</f>
        <v>15.403022109276007</v>
      </c>
      <c r="AN21" s="105">
        <f>('Balance Sheet'!AM6+'Balance Sheet'!AM7+'Balance Sheet'!AM12)*'Income Statement &amp; Segments'!AN144</f>
        <v>23.030870052901193</v>
      </c>
      <c r="AO21" s="105">
        <f>('Balance Sheet'!AN6+'Balance Sheet'!AN7+'Balance Sheet'!AN12)*'Income Statement &amp; Segments'!AO144</f>
        <v>19.782203920447088</v>
      </c>
      <c r="AP21" s="105">
        <f>('Balance Sheet'!AO6+'Balance Sheet'!AO7+'Balance Sheet'!AO12)*'Income Statement &amp; Segments'!AP144</f>
        <v>20.308443193308538</v>
      </c>
      <c r="AQ21" s="170">
        <f t="shared" ref="AQ21:AQ22" si="58">SUM(AM21:AP21)</f>
        <v>78.524539275932824</v>
      </c>
      <c r="AR21" s="105">
        <f>('Balance Sheet'!AP6+'Balance Sheet'!AP7+'Balance Sheet'!AP12)*'Income Statement &amp; Segments'!AR144</f>
        <v>26.514755980221455</v>
      </c>
      <c r="AS21" s="105">
        <f>('Balance Sheet'!AR6+'Balance Sheet'!AR7+'Balance Sheet'!AR12)*'Income Statement &amp; Segments'!AS144</f>
        <v>35.883987086734386</v>
      </c>
      <c r="AT21" s="105">
        <f>('Balance Sheet'!AS6+'Balance Sheet'!AS7+'Balance Sheet'!AS12)*'Income Statement &amp; Segments'!AT144</f>
        <v>33.356540119039202</v>
      </c>
      <c r="AU21" s="105">
        <f>('Balance Sheet'!AT6+'Balance Sheet'!AT7+'Balance Sheet'!AT12)*'Income Statement &amp; Segments'!AU144</f>
        <v>34.947476462292514</v>
      </c>
      <c r="AV21" s="170">
        <f t="shared" ref="AV21:AV22" si="59">SUM(AR21:AU21)</f>
        <v>130.70275964828755</v>
      </c>
    </row>
    <row r="22" spans="1:48" ht="16.2" x14ac:dyDescent="0.45">
      <c r="B22" s="38" t="s">
        <v>38</v>
      </c>
      <c r="C22" s="356"/>
      <c r="D22" s="104">
        <v>-75</v>
      </c>
      <c r="E22" s="104">
        <v>-73.900000000000006</v>
      </c>
      <c r="F22" s="104">
        <v>-86.4</v>
      </c>
      <c r="G22" s="104">
        <f t="shared" si="51"/>
        <v>-95.699999999999989</v>
      </c>
      <c r="H22" s="173">
        <v>-331</v>
      </c>
      <c r="I22" s="104">
        <v>-91.9</v>
      </c>
      <c r="J22" s="104">
        <v>-99.2</v>
      </c>
      <c r="K22" s="104">
        <v>-120.8</v>
      </c>
      <c r="L22" s="104">
        <v>-125</v>
      </c>
      <c r="M22" s="173">
        <f t="shared" si="52"/>
        <v>-436.90000000000003</v>
      </c>
      <c r="N22" s="104">
        <v>-120.7</v>
      </c>
      <c r="O22" s="104">
        <v>-115</v>
      </c>
      <c r="P22" s="104">
        <v>-113.4</v>
      </c>
      <c r="Q22" s="104">
        <v>-120.6</v>
      </c>
      <c r="R22" s="173">
        <f t="shared" ref="R22" si="60">SUM(N22:Q22)</f>
        <v>-469.70000000000005</v>
      </c>
      <c r="S22" s="104">
        <v>-115.3</v>
      </c>
      <c r="T22" s="104">
        <v>-119.1</v>
      </c>
      <c r="U22" s="104">
        <v>-123.1</v>
      </c>
      <c r="V22" s="104">
        <f>-('Balance Sheet'!U28+'Balance Sheet'!U31)*V145</f>
        <v>-119.60932925321661</v>
      </c>
      <c r="W22" s="173">
        <f t="shared" ref="W22" si="61">SUM(S22:V22)</f>
        <v>-477.10932925321663</v>
      </c>
      <c r="X22" s="104">
        <f>-('Balance Sheet'!V28+'Balance Sheet'!V31)*X145</f>
        <v>-119.52922600531741</v>
      </c>
      <c r="Y22" s="104">
        <f>-('Balance Sheet'!X28+'Balance Sheet'!X31)*Y145</f>
        <v>-121.02231600531739</v>
      </c>
      <c r="Z22" s="104">
        <f>-('Balance Sheet'!Y28+'Balance Sheet'!Y31)*Z145</f>
        <v>-122.51540600531739</v>
      </c>
      <c r="AA22" s="104">
        <f>-('Balance Sheet'!Z28+'Balance Sheet'!Z31)*AA145</f>
        <v>-124.00849600531738</v>
      </c>
      <c r="AB22" s="173">
        <f t="shared" ref="AB22" si="62">SUM(X22:AA22)</f>
        <v>-487.07544402126962</v>
      </c>
      <c r="AC22" s="104">
        <f>-('Balance Sheet'!AA28+'Balance Sheet'!AA31)*AC145</f>
        <v>-125.50158600531738</v>
      </c>
      <c r="AD22" s="104">
        <f>-('Balance Sheet'!AC28+'Balance Sheet'!AC31)*AD145</f>
        <v>-126.99467600531736</v>
      </c>
      <c r="AE22" s="104">
        <f>-('Balance Sheet'!AD28+'Balance Sheet'!AD31)*AE145</f>
        <v>-128.48518435720496</v>
      </c>
      <c r="AF22" s="104">
        <f>-('Balance Sheet'!AE28+'Balance Sheet'!AE31)*AF145</f>
        <v>-129.97824435720494</v>
      </c>
      <c r="AG22" s="173">
        <f t="shared" si="56"/>
        <v>-510.95969072504465</v>
      </c>
      <c r="AH22" s="104">
        <f>-('Balance Sheet'!AF28+'Balance Sheet'!AF31)*AH145</f>
        <v>-132.35185372800854</v>
      </c>
      <c r="AI22" s="104">
        <f>-('Balance Sheet'!AH28+'Balance Sheet'!AH31)*AI145</f>
        <v>-133.85491372800854</v>
      </c>
      <c r="AJ22" s="104">
        <f>-('Balance Sheet'!AI28+'Balance Sheet'!AI31)*AJ145</f>
        <v>-135.35797372800852</v>
      </c>
      <c r="AK22" s="104">
        <f>-('Balance Sheet'!AJ28+'Balance Sheet'!AJ31)*AK145</f>
        <v>-185.03454401480536</v>
      </c>
      <c r="AL22" s="173">
        <f t="shared" si="57"/>
        <v>-586.59928519883101</v>
      </c>
      <c r="AM22" s="104">
        <f>-('Balance Sheet'!AK28+'Balance Sheet'!AK31)*AM145</f>
        <v>-185.03454401480536</v>
      </c>
      <c r="AN22" s="104">
        <f>-('Balance Sheet'!AM28+'Balance Sheet'!AM31)*AN145</f>
        <v>-185.03454401480536</v>
      </c>
      <c r="AO22" s="104">
        <f>-('Balance Sheet'!AN28+'Balance Sheet'!AN31)*AO145</f>
        <v>-185.03454401480536</v>
      </c>
      <c r="AP22" s="104">
        <f>-('Balance Sheet'!AO28+'Balance Sheet'!AO31)*AP145</f>
        <v>-185.03454401480536</v>
      </c>
      <c r="AQ22" s="173">
        <f t="shared" si="58"/>
        <v>-740.13817605922145</v>
      </c>
      <c r="AR22" s="104">
        <f>-('Balance Sheet'!AP28+'Balance Sheet'!AP31)*AR145</f>
        <v>-185.03454401480536</v>
      </c>
      <c r="AS22" s="104">
        <f>-('Balance Sheet'!AR28+'Balance Sheet'!AR31)*AS145</f>
        <v>-185.03454401480536</v>
      </c>
      <c r="AT22" s="104">
        <f>-('Balance Sheet'!AS28+'Balance Sheet'!AS31)*AT145</f>
        <v>-185.03454401480536</v>
      </c>
      <c r="AU22" s="104">
        <f>-('Balance Sheet'!AT28+'Balance Sheet'!AT31)*AU145</f>
        <v>-185.03454401480536</v>
      </c>
      <c r="AV22" s="173">
        <f t="shared" si="59"/>
        <v>-740.13817605922145</v>
      </c>
    </row>
    <row r="23" spans="1:48" x14ac:dyDescent="0.3">
      <c r="B23" s="444" t="s">
        <v>11</v>
      </c>
      <c r="C23" s="445"/>
      <c r="D23" s="103">
        <f t="shared" ref="D23:AQ23" si="63">D17+D21+D22+D20</f>
        <v>965.50000000000045</v>
      </c>
      <c r="E23" s="103">
        <f t="shared" si="63"/>
        <v>819.99999999999966</v>
      </c>
      <c r="F23" s="103">
        <f t="shared" si="63"/>
        <v>1676.900000000001</v>
      </c>
      <c r="G23" s="103">
        <f t="shared" si="63"/>
        <v>1003.8000000000011</v>
      </c>
      <c r="H23" s="171">
        <f t="shared" si="63"/>
        <v>4466.2000000000053</v>
      </c>
      <c r="I23" s="103">
        <f t="shared" si="63"/>
        <v>1143.7999999999988</v>
      </c>
      <c r="J23" s="103">
        <f t="shared" si="63"/>
        <v>390.19999999999908</v>
      </c>
      <c r="K23" s="103">
        <f t="shared" si="63"/>
        <v>-811.9999999999992</v>
      </c>
      <c r="L23" s="50">
        <f t="shared" si="63"/>
        <v>442.40000000000043</v>
      </c>
      <c r="M23" s="51">
        <f t="shared" si="63"/>
        <v>1164.4000000000044</v>
      </c>
      <c r="N23" s="50">
        <f t="shared" si="63"/>
        <v>808.30000000000018</v>
      </c>
      <c r="O23" s="103">
        <f t="shared" si="63"/>
        <v>889.9</v>
      </c>
      <c r="P23" s="103">
        <f t="shared" si="63"/>
        <v>1411.2999999999988</v>
      </c>
      <c r="Q23" s="103">
        <f>Q17+Q21+Q22+Q20</f>
        <v>2247.6</v>
      </c>
      <c r="R23" s="171">
        <f t="shared" si="63"/>
        <v>5357.0999999999976</v>
      </c>
      <c r="S23" s="50">
        <f t="shared" si="63"/>
        <v>1062.4000000000001</v>
      </c>
      <c r="T23" s="50">
        <f t="shared" si="63"/>
        <v>876.10000000000014</v>
      </c>
      <c r="U23" s="50">
        <f t="shared" si="63"/>
        <v>1192.1999999999996</v>
      </c>
      <c r="V23" s="50">
        <f t="shared" si="63"/>
        <v>1008.4894794764914</v>
      </c>
      <c r="W23" s="171">
        <f t="shared" si="63"/>
        <v>4139.189479476483</v>
      </c>
      <c r="X23" s="50">
        <f t="shared" si="63"/>
        <v>1068.246148677171</v>
      </c>
      <c r="Y23" s="50">
        <f t="shared" si="63"/>
        <v>1040.9107472290532</v>
      </c>
      <c r="Z23" s="50">
        <f t="shared" si="63"/>
        <v>1342.5261407411053</v>
      </c>
      <c r="AA23" s="50">
        <f t="shared" si="63"/>
        <v>1433.2809871300897</v>
      </c>
      <c r="AB23" s="51">
        <f t="shared" si="63"/>
        <v>4884.9640237774211</v>
      </c>
      <c r="AC23" s="50">
        <f t="shared" si="63"/>
        <v>1469.9419379278079</v>
      </c>
      <c r="AD23" s="50">
        <f t="shared" si="63"/>
        <v>1210.7705336239098</v>
      </c>
      <c r="AE23" s="50">
        <f t="shared" si="63"/>
        <v>1509.8956158890942</v>
      </c>
      <c r="AF23" s="50">
        <f t="shared" si="63"/>
        <v>1491.3262293429784</v>
      </c>
      <c r="AG23" s="51">
        <f t="shared" si="63"/>
        <v>5681.9343167837924</v>
      </c>
      <c r="AH23" s="50">
        <f t="shared" si="63"/>
        <v>1731.056089449263</v>
      </c>
      <c r="AI23" s="50">
        <f t="shared" si="63"/>
        <v>1445.1049585676001</v>
      </c>
      <c r="AJ23" s="50">
        <f t="shared" si="63"/>
        <v>1854.5090142144356</v>
      </c>
      <c r="AK23" s="50">
        <f t="shared" si="63"/>
        <v>1730.388286834434</v>
      </c>
      <c r="AL23" s="51">
        <f t="shared" si="63"/>
        <v>6761.0583490657309</v>
      </c>
      <c r="AM23" s="50">
        <f t="shared" si="63"/>
        <v>1869.5730366693683</v>
      </c>
      <c r="AN23" s="50">
        <f t="shared" si="63"/>
        <v>1544.1603079396589</v>
      </c>
      <c r="AO23" s="50">
        <f t="shared" si="63"/>
        <v>1970.4245175142769</v>
      </c>
      <c r="AP23" s="50">
        <f t="shared" si="63"/>
        <v>1876.3854519545675</v>
      </c>
      <c r="AQ23" s="51">
        <f t="shared" si="63"/>
        <v>7260.5433140778732</v>
      </c>
      <c r="AR23" s="50">
        <f t="shared" ref="AR23:AV23" si="64">AR17+AR21+AR22+AR20</f>
        <v>2009.5261093880499</v>
      </c>
      <c r="AS23" s="50">
        <f t="shared" si="64"/>
        <v>1663.8408051407596</v>
      </c>
      <c r="AT23" s="50">
        <f t="shared" si="64"/>
        <v>2116.0736119627804</v>
      </c>
      <c r="AU23" s="50">
        <f t="shared" si="64"/>
        <v>2019.7347308988656</v>
      </c>
      <c r="AV23" s="51">
        <f t="shared" si="64"/>
        <v>7809.1752573904687</v>
      </c>
    </row>
    <row r="24" spans="1:48" ht="16.2" x14ac:dyDescent="0.45">
      <c r="B24" s="446" t="s">
        <v>5</v>
      </c>
      <c r="C24" s="447"/>
      <c r="D24" s="104">
        <v>205.1</v>
      </c>
      <c r="E24" s="104">
        <v>161.19999999999999</v>
      </c>
      <c r="F24" s="104">
        <v>303.7</v>
      </c>
      <c r="G24" s="104">
        <f t="shared" ref="G24" si="65">H24-F24-E24-D24</f>
        <v>201.60000000000011</v>
      </c>
      <c r="H24" s="173">
        <v>871.6</v>
      </c>
      <c r="I24" s="104">
        <v>258.5</v>
      </c>
      <c r="J24" s="104">
        <v>65.400000000000006</v>
      </c>
      <c r="K24" s="104">
        <v>-133.9</v>
      </c>
      <c r="L24" s="52">
        <v>49.7</v>
      </c>
      <c r="M24" s="53">
        <f>SUM(I24:L24)</f>
        <v>239.7</v>
      </c>
      <c r="N24" s="52">
        <v>186.1</v>
      </c>
      <c r="O24" s="104">
        <v>230.5</v>
      </c>
      <c r="P24" s="104">
        <v>257.10000000000002</v>
      </c>
      <c r="Q24" s="104">
        <v>483</v>
      </c>
      <c r="R24" s="173">
        <f>SUM(N24:Q24)</f>
        <v>1156.7</v>
      </c>
      <c r="S24" s="52">
        <v>246.3</v>
      </c>
      <c r="T24" s="52">
        <v>201.1</v>
      </c>
      <c r="U24" s="52">
        <v>278.5</v>
      </c>
      <c r="V24" s="52">
        <f>+V23*V143</f>
        <v>242.03747507435793</v>
      </c>
      <c r="W24" s="173">
        <f>SUM(S24:V24)</f>
        <v>967.93747507435796</v>
      </c>
      <c r="X24" s="52">
        <f>+X23*X143</f>
        <v>261.72030642590693</v>
      </c>
      <c r="Y24" s="52">
        <f>+Y23*Y143</f>
        <v>255.02313307111802</v>
      </c>
      <c r="Z24" s="52">
        <f>+Z23*Z143</f>
        <v>328.91890448157079</v>
      </c>
      <c r="AA24" s="52">
        <f>+AA23*AA143</f>
        <v>351.15384184687196</v>
      </c>
      <c r="AB24" s="53">
        <f>SUM(X24:AA24)</f>
        <v>1196.8161858254678</v>
      </c>
      <c r="AC24" s="52">
        <f>+AC23*AC143</f>
        <v>360.13577479231293</v>
      </c>
      <c r="AD24" s="52">
        <f>+AD23*AD143</f>
        <v>296.63878073785793</v>
      </c>
      <c r="AE24" s="52">
        <f>+AE23*AE143</f>
        <v>369.92442589282808</v>
      </c>
      <c r="AF24" s="52">
        <f>+AF23*AF143</f>
        <v>365.37492618902968</v>
      </c>
      <c r="AG24" s="53">
        <f>SUM(AC24:AF24)</f>
        <v>1392.0739076120285</v>
      </c>
      <c r="AH24" s="52">
        <f>+AH23*AH143</f>
        <v>424.10874191506946</v>
      </c>
      <c r="AI24" s="52">
        <f>+AI23*AI143</f>
        <v>354.05071484906199</v>
      </c>
      <c r="AJ24" s="52">
        <f>+AJ23*AJ143</f>
        <v>454.35470848253675</v>
      </c>
      <c r="AK24" s="52">
        <f>+AK23*AK143</f>
        <v>423.94513027443634</v>
      </c>
      <c r="AL24" s="53">
        <f>SUM(AH24:AK24)</f>
        <v>1656.4592955211047</v>
      </c>
      <c r="AM24" s="52">
        <f>+AM23*AM143</f>
        <v>458.04539398399521</v>
      </c>
      <c r="AN24" s="52">
        <f>+AN23*AN143</f>
        <v>378.31927544521642</v>
      </c>
      <c r="AO24" s="52">
        <f>+AO23*AO143</f>
        <v>482.75400679099783</v>
      </c>
      <c r="AP24" s="52">
        <f>+AP23*AP143</f>
        <v>459.71443572886903</v>
      </c>
      <c r="AQ24" s="53">
        <f>SUM(AM24:AP24)</f>
        <v>1778.8331119490786</v>
      </c>
      <c r="AR24" s="52">
        <f>+AR23*AR143</f>
        <v>492.33389680007224</v>
      </c>
      <c r="AS24" s="52">
        <f>+AS23*AS143</f>
        <v>407.64099725948608</v>
      </c>
      <c r="AT24" s="52">
        <f>+AT23*AT143</f>
        <v>518.43803493088114</v>
      </c>
      <c r="AU24" s="52">
        <f>+AU23*AU143</f>
        <v>494.83500907022204</v>
      </c>
      <c r="AV24" s="53">
        <f>SUM(AR24:AU24)</f>
        <v>1913.2479380606615</v>
      </c>
    </row>
    <row r="25" spans="1:48" x14ac:dyDescent="0.3">
      <c r="A25" s="23"/>
      <c r="B25" s="444" t="s">
        <v>39</v>
      </c>
      <c r="C25" s="445"/>
      <c r="D25" s="103">
        <f t="shared" ref="D25:AQ25" si="66">+D23-D24</f>
        <v>760.40000000000043</v>
      </c>
      <c r="E25" s="103">
        <f t="shared" si="66"/>
        <v>658.79999999999973</v>
      </c>
      <c r="F25" s="103">
        <f t="shared" si="66"/>
        <v>1373.200000000001</v>
      </c>
      <c r="G25" s="103">
        <f t="shared" si="66"/>
        <v>802.20000000000095</v>
      </c>
      <c r="H25" s="171">
        <f t="shared" si="66"/>
        <v>3594.6000000000054</v>
      </c>
      <c r="I25" s="103">
        <f t="shared" si="66"/>
        <v>885.29999999999882</v>
      </c>
      <c r="J25" s="103">
        <f t="shared" si="66"/>
        <v>324.79999999999905</v>
      </c>
      <c r="K25" s="103">
        <f t="shared" si="66"/>
        <v>-678.09999999999923</v>
      </c>
      <c r="L25" s="50">
        <f t="shared" si="66"/>
        <v>392.70000000000044</v>
      </c>
      <c r="M25" s="51">
        <f t="shared" si="66"/>
        <v>924.70000000000437</v>
      </c>
      <c r="N25" s="50">
        <f t="shared" si="66"/>
        <v>622.20000000000016</v>
      </c>
      <c r="O25" s="103">
        <f t="shared" si="66"/>
        <v>659.4</v>
      </c>
      <c r="P25" s="103">
        <f t="shared" si="66"/>
        <v>1154.1999999999989</v>
      </c>
      <c r="Q25" s="103">
        <f>+Q23-Q24</f>
        <v>1764.6</v>
      </c>
      <c r="R25" s="171">
        <f t="shared" si="66"/>
        <v>4200.3999999999978</v>
      </c>
      <c r="S25" s="50">
        <f t="shared" si="66"/>
        <v>816.10000000000014</v>
      </c>
      <c r="T25" s="50">
        <f t="shared" si="66"/>
        <v>675.00000000000011</v>
      </c>
      <c r="U25" s="50">
        <f t="shared" si="66"/>
        <v>913.69999999999959</v>
      </c>
      <c r="V25" s="50">
        <f t="shared" si="66"/>
        <v>766.45200440213353</v>
      </c>
      <c r="W25" s="171">
        <f t="shared" si="66"/>
        <v>3171.2520044021248</v>
      </c>
      <c r="X25" s="50">
        <f t="shared" si="66"/>
        <v>806.52584225126407</v>
      </c>
      <c r="Y25" s="50">
        <f t="shared" si="66"/>
        <v>785.8876141579351</v>
      </c>
      <c r="Z25" s="50">
        <f t="shared" si="66"/>
        <v>1013.6072362595346</v>
      </c>
      <c r="AA25" s="50">
        <f t="shared" si="66"/>
        <v>1082.1271452832177</v>
      </c>
      <c r="AB25" s="51">
        <f t="shared" si="66"/>
        <v>3688.1478379519531</v>
      </c>
      <c r="AC25" s="50">
        <f t="shared" si="66"/>
        <v>1109.8061631354949</v>
      </c>
      <c r="AD25" s="50">
        <f t="shared" si="66"/>
        <v>914.13175288605191</v>
      </c>
      <c r="AE25" s="50">
        <f t="shared" si="66"/>
        <v>1139.971189996266</v>
      </c>
      <c r="AF25" s="103">
        <f t="shared" si="66"/>
        <v>1125.9513031539486</v>
      </c>
      <c r="AG25" s="171">
        <f t="shared" si="66"/>
        <v>4289.8604091717643</v>
      </c>
      <c r="AH25" s="103">
        <f t="shared" si="66"/>
        <v>1306.9473475341936</v>
      </c>
      <c r="AI25" s="103">
        <f t="shared" si="66"/>
        <v>1091.0542437185381</v>
      </c>
      <c r="AJ25" s="103">
        <f t="shared" si="66"/>
        <v>1400.1543057318988</v>
      </c>
      <c r="AK25" s="103">
        <f t="shared" si="66"/>
        <v>1306.4431565599975</v>
      </c>
      <c r="AL25" s="51">
        <f t="shared" si="66"/>
        <v>5104.5990535446263</v>
      </c>
      <c r="AM25" s="103">
        <f t="shared" si="66"/>
        <v>1411.5276426853732</v>
      </c>
      <c r="AN25" s="103">
        <f t="shared" si="66"/>
        <v>1165.8410324944425</v>
      </c>
      <c r="AO25" s="103">
        <f t="shared" si="66"/>
        <v>1487.670510723279</v>
      </c>
      <c r="AP25" s="103">
        <f t="shared" si="66"/>
        <v>1416.6710162256986</v>
      </c>
      <c r="AQ25" s="51">
        <f t="shared" si="66"/>
        <v>5481.7102021287947</v>
      </c>
      <c r="AR25" s="103">
        <f t="shared" ref="AR25:AV25" si="67">+AR23-AR24</f>
        <v>1517.1922125879778</v>
      </c>
      <c r="AS25" s="103">
        <f t="shared" si="67"/>
        <v>1256.1998078812735</v>
      </c>
      <c r="AT25" s="103">
        <f t="shared" si="67"/>
        <v>1597.6355770318992</v>
      </c>
      <c r="AU25" s="103">
        <f t="shared" si="67"/>
        <v>1524.8997218286436</v>
      </c>
      <c r="AV25" s="51">
        <f t="shared" si="67"/>
        <v>5895.9273193298068</v>
      </c>
    </row>
    <row r="26" spans="1:48" ht="16.2" x14ac:dyDescent="0.45">
      <c r="A26" s="23"/>
      <c r="B26" s="210" t="s">
        <v>40</v>
      </c>
      <c r="C26" s="201"/>
      <c r="D26" s="104">
        <v>-0.2</v>
      </c>
      <c r="E26" s="104">
        <v>-4.4000000000000004</v>
      </c>
      <c r="F26" s="104">
        <v>0.4</v>
      </c>
      <c r="G26" s="104">
        <f t="shared" ref="G26" si="68">H26-F26-E26-D26</f>
        <v>-0.39999999999999963</v>
      </c>
      <c r="H26" s="173">
        <v>-4.5999999999999996</v>
      </c>
      <c r="I26" s="104">
        <v>-0.4</v>
      </c>
      <c r="J26" s="104">
        <v>-3.6</v>
      </c>
      <c r="K26" s="104">
        <v>0.3</v>
      </c>
      <c r="L26" s="104">
        <v>0.1</v>
      </c>
      <c r="M26" s="173">
        <f>SUM(I26:L26)</f>
        <v>-3.6</v>
      </c>
      <c r="N26" s="104">
        <v>0</v>
      </c>
      <c r="O26" s="104">
        <v>0</v>
      </c>
      <c r="P26" s="104">
        <v>0.8</v>
      </c>
      <c r="Q26" s="104">
        <v>0.2</v>
      </c>
      <c r="R26" s="173">
        <f>SUM(N26:Q26)</f>
        <v>1</v>
      </c>
      <c r="S26" s="104">
        <v>0.2</v>
      </c>
      <c r="T26" s="104">
        <f>AVERAGE(S26,Q26,P26,O26)</f>
        <v>0.30000000000000004</v>
      </c>
      <c r="U26" s="104">
        <v>0.8</v>
      </c>
      <c r="V26" s="104">
        <f>AVERAGE(U26,T26,S26,Q26)</f>
        <v>0.375</v>
      </c>
      <c r="W26" s="173">
        <f>SUM(S26:V26)</f>
        <v>1.675</v>
      </c>
      <c r="X26" s="104">
        <f>AVERAGE(V26,U26,T26,S26)</f>
        <v>0.41875000000000001</v>
      </c>
      <c r="Y26" s="104">
        <f>AVERAGE(X26,V26,U26,T26)</f>
        <v>0.47343750000000001</v>
      </c>
      <c r="Z26" s="104">
        <f>AVERAGE(Y26,X26,V26,U26)</f>
        <v>0.51679687500000004</v>
      </c>
      <c r="AA26" s="104">
        <f>AVERAGE(Z26,Y26,X26,V26)</f>
        <v>0.44599609374999999</v>
      </c>
      <c r="AB26" s="173">
        <f>SUM(X26:AA26)</f>
        <v>1.8549804687500002</v>
      </c>
      <c r="AC26" s="104">
        <f>AVERAGE(AA26,Z26,Y26,X26)</f>
        <v>0.4637451171875</v>
      </c>
      <c r="AD26" s="104">
        <f>AVERAGE(AC26,AA26,Z26,Y26)</f>
        <v>0.47499389648437501</v>
      </c>
      <c r="AE26" s="104">
        <f>AVERAGE(AD26,AC26,AA26,Z26)</f>
        <v>0.47538299560546876</v>
      </c>
      <c r="AF26" s="104">
        <f>AVERAGE(AE26,AD26,AC26,AA26)</f>
        <v>0.46502952575683593</v>
      </c>
      <c r="AG26" s="173">
        <f>SUM(AC26:AF26)</f>
        <v>1.8791515350341796</v>
      </c>
      <c r="AH26" s="104">
        <f>AVERAGE(AF26,AE26,AD26,AC26)</f>
        <v>0.46978788375854491</v>
      </c>
      <c r="AI26" s="104">
        <f>AVERAGE(AH26,AF26,AE26,AD26)</f>
        <v>0.47129857540130615</v>
      </c>
      <c r="AJ26" s="104">
        <f>AVERAGE(AI26,AH26,AF26,AE26)</f>
        <v>0.47037474513053895</v>
      </c>
      <c r="AK26" s="104">
        <f>AVERAGE(AJ26,AI26,AH26,AF26)</f>
        <v>0.4691226825118065</v>
      </c>
      <c r="AL26" s="53">
        <f>SUM(AH26:AK26)</f>
        <v>1.8805838868021965</v>
      </c>
      <c r="AM26" s="104">
        <f>AVERAGE(AK26,AJ26,AI26,AH26)</f>
        <v>0.47014597170054911</v>
      </c>
      <c r="AN26" s="104">
        <f>AVERAGE(AM26,AK26,AJ26,AI26)</f>
        <v>0.47023549368605017</v>
      </c>
      <c r="AO26" s="104">
        <f>AVERAGE(AN26,AM26,AK26,AJ26)</f>
        <v>0.46996972325723618</v>
      </c>
      <c r="AP26" s="104">
        <f>AVERAGE(AO26,AN26,AM26,AK26)</f>
        <v>0.4698684677889105</v>
      </c>
      <c r="AQ26" s="53">
        <f>SUM(AM26:AP26)</f>
        <v>1.880219656432746</v>
      </c>
      <c r="AR26" s="104">
        <f>AVERAGE(AP26,AO26,AN26,AM26)</f>
        <v>0.47005491410818651</v>
      </c>
      <c r="AS26" s="104">
        <f>AVERAGE(AR26,AP26,AO26,AN26)</f>
        <v>0.47003214971009583</v>
      </c>
      <c r="AT26" s="104">
        <f>AVERAGE(AS26,AR26,AP26,AO26)</f>
        <v>0.46998131371610724</v>
      </c>
      <c r="AU26" s="104">
        <f>AVERAGE(AT26,AS26,AR26,AP26)</f>
        <v>0.46998421133082502</v>
      </c>
      <c r="AV26" s="53">
        <f>SUM(AR26:AU26)</f>
        <v>1.8800525888652146</v>
      </c>
    </row>
    <row r="27" spans="1:48" s="8" customFormat="1" x14ac:dyDescent="0.3">
      <c r="A27" s="20"/>
      <c r="B27" s="209" t="s">
        <v>16</v>
      </c>
      <c r="C27" s="202"/>
      <c r="D27" s="103">
        <f t="shared" ref="D27:AQ27" si="69">+D25-D26</f>
        <v>760.60000000000048</v>
      </c>
      <c r="E27" s="103">
        <f t="shared" si="69"/>
        <v>663.1999999999997</v>
      </c>
      <c r="F27" s="103">
        <f t="shared" si="69"/>
        <v>1372.8000000000009</v>
      </c>
      <c r="G27" s="103">
        <f t="shared" si="69"/>
        <v>802.60000000000093</v>
      </c>
      <c r="H27" s="171">
        <f t="shared" si="69"/>
        <v>3599.2000000000053</v>
      </c>
      <c r="I27" s="103">
        <f t="shared" si="69"/>
        <v>885.69999999999879</v>
      </c>
      <c r="J27" s="103">
        <f t="shared" si="69"/>
        <v>328.39999999999907</v>
      </c>
      <c r="K27" s="103">
        <f t="shared" si="69"/>
        <v>-678.39999999999918</v>
      </c>
      <c r="L27" s="50">
        <f t="shared" si="69"/>
        <v>392.60000000000042</v>
      </c>
      <c r="M27" s="51">
        <f t="shared" si="69"/>
        <v>928.30000000000439</v>
      </c>
      <c r="N27" s="50">
        <f t="shared" si="69"/>
        <v>622.20000000000016</v>
      </c>
      <c r="O27" s="103">
        <f t="shared" si="69"/>
        <v>659.4</v>
      </c>
      <c r="P27" s="103">
        <f t="shared" si="69"/>
        <v>1153.399999999999</v>
      </c>
      <c r="Q27" s="103">
        <f t="shared" si="69"/>
        <v>1764.3999999999999</v>
      </c>
      <c r="R27" s="171">
        <f t="shared" si="69"/>
        <v>4199.3999999999978</v>
      </c>
      <c r="S27" s="50">
        <f t="shared" si="69"/>
        <v>815.90000000000009</v>
      </c>
      <c r="T27" s="50">
        <f t="shared" si="69"/>
        <v>674.70000000000016</v>
      </c>
      <c r="U27" s="50">
        <f t="shared" si="69"/>
        <v>912.89999999999964</v>
      </c>
      <c r="V27" s="50">
        <f t="shared" si="69"/>
        <v>766.07700440213353</v>
      </c>
      <c r="W27" s="171">
        <f t="shared" si="69"/>
        <v>3169.5770044021247</v>
      </c>
      <c r="X27" s="50">
        <f t="shared" si="69"/>
        <v>806.10709225126402</v>
      </c>
      <c r="Y27" s="50">
        <f t="shared" si="69"/>
        <v>785.41417665793506</v>
      </c>
      <c r="Z27" s="50">
        <f t="shared" si="69"/>
        <v>1013.0904393845346</v>
      </c>
      <c r="AA27" s="50">
        <f t="shared" si="69"/>
        <v>1081.6811491894678</v>
      </c>
      <c r="AB27" s="51">
        <f t="shared" si="69"/>
        <v>3686.2928574832031</v>
      </c>
      <c r="AC27" s="50">
        <f t="shared" si="69"/>
        <v>1109.3424180183074</v>
      </c>
      <c r="AD27" s="50">
        <f t="shared" si="69"/>
        <v>913.65675898956749</v>
      </c>
      <c r="AE27" s="50">
        <f t="shared" si="69"/>
        <v>1139.4958070006605</v>
      </c>
      <c r="AF27" s="50">
        <f t="shared" si="69"/>
        <v>1125.4862736281918</v>
      </c>
      <c r="AG27" s="51">
        <f t="shared" si="69"/>
        <v>4287.9812576367303</v>
      </c>
      <c r="AH27" s="50">
        <f t="shared" si="69"/>
        <v>1306.4775596504351</v>
      </c>
      <c r="AI27" s="50">
        <f t="shared" si="69"/>
        <v>1090.5829451431368</v>
      </c>
      <c r="AJ27" s="50">
        <f t="shared" si="69"/>
        <v>1399.6839309867682</v>
      </c>
      <c r="AK27" s="50">
        <f t="shared" si="69"/>
        <v>1305.9740338774857</v>
      </c>
      <c r="AL27" s="51">
        <f t="shared" si="69"/>
        <v>5102.7184696578242</v>
      </c>
      <c r="AM27" s="50">
        <f t="shared" si="69"/>
        <v>1411.0574967136727</v>
      </c>
      <c r="AN27" s="50">
        <f t="shared" si="69"/>
        <v>1165.3707970007565</v>
      </c>
      <c r="AO27" s="50">
        <f t="shared" si="69"/>
        <v>1487.2005410000218</v>
      </c>
      <c r="AP27" s="50">
        <f t="shared" si="69"/>
        <v>1416.2011477579097</v>
      </c>
      <c r="AQ27" s="51">
        <f t="shared" si="69"/>
        <v>5479.8299824723617</v>
      </c>
      <c r="AR27" s="50">
        <f t="shared" ref="AR27:AV27" si="70">+AR25-AR26</f>
        <v>1516.7221576738696</v>
      </c>
      <c r="AS27" s="50">
        <f t="shared" si="70"/>
        <v>1255.7297757315634</v>
      </c>
      <c r="AT27" s="50">
        <f t="shared" si="70"/>
        <v>1597.1655957181831</v>
      </c>
      <c r="AU27" s="50">
        <f t="shared" si="70"/>
        <v>1524.4297376173126</v>
      </c>
      <c r="AV27" s="51">
        <f t="shared" si="70"/>
        <v>5894.0472667409413</v>
      </c>
    </row>
    <row r="28" spans="1:48" s="8" customFormat="1" ht="16.2" x14ac:dyDescent="0.45">
      <c r="A28" s="20"/>
      <c r="B28" s="87" t="s">
        <v>72</v>
      </c>
      <c r="C28" s="84"/>
      <c r="D28" s="109">
        <f t="shared" ref="D28:AA28" si="71">-D171-D172</f>
        <v>41.449999999998646</v>
      </c>
      <c r="E28" s="109">
        <f t="shared" si="71"/>
        <v>-54.179999999999545</v>
      </c>
      <c r="F28" s="109">
        <f t="shared" si="71"/>
        <v>-544.16000000000076</v>
      </c>
      <c r="G28" s="109">
        <f t="shared" si="71"/>
        <v>-30</v>
      </c>
      <c r="H28" s="178">
        <f>SUM(D28:G28)</f>
        <v>-586.89000000000169</v>
      </c>
      <c r="I28" s="109">
        <f t="shared" si="71"/>
        <v>-11</v>
      </c>
      <c r="J28" s="109">
        <f t="shared" si="71"/>
        <v>-23</v>
      </c>
      <c r="K28" s="109">
        <f t="shared" si="71"/>
        <v>-35.055</v>
      </c>
      <c r="L28" s="91">
        <f>-L171-L172</f>
        <v>-50.810000000000372</v>
      </c>
      <c r="M28" s="92">
        <f>SUM(I28:L28)</f>
        <v>-119.86500000000038</v>
      </c>
      <c r="N28" s="109">
        <f t="shared" si="71"/>
        <v>-35.49</v>
      </c>
      <c r="O28" s="109">
        <f t="shared" si="71"/>
        <v>-11.847999999999999</v>
      </c>
      <c r="P28" s="109">
        <f t="shared" si="71"/>
        <v>-11.862</v>
      </c>
      <c r="Q28" s="109">
        <f t="shared" si="71"/>
        <v>-696.10940000000005</v>
      </c>
      <c r="R28" s="178">
        <f>SUM(N28:Q28)</f>
        <v>-755.3094000000001</v>
      </c>
      <c r="S28" s="91">
        <f t="shared" si="71"/>
        <v>-3.9480000000003299</v>
      </c>
      <c r="T28" s="91">
        <f t="shared" si="71"/>
        <v>-46.156000000000006</v>
      </c>
      <c r="U28" s="91">
        <f t="shared" si="71"/>
        <v>-23.02</v>
      </c>
      <c r="V28" s="91">
        <f t="shared" si="71"/>
        <v>-33.861677419354834</v>
      </c>
      <c r="W28" s="178">
        <f>SUM(S28:V28)</f>
        <v>-106.98567741935517</v>
      </c>
      <c r="X28" s="91">
        <f t="shared" si="71"/>
        <v>-33.861677419354834</v>
      </c>
      <c r="Y28" s="91">
        <f t="shared" si="71"/>
        <v>-19.010064516129031</v>
      </c>
      <c r="Z28" s="91">
        <f t="shared" si="71"/>
        <v>-19.010064516129031</v>
      </c>
      <c r="AA28" s="91">
        <f t="shared" si="71"/>
        <v>-19.010064516129031</v>
      </c>
      <c r="AB28" s="92">
        <f>SUM(X28:AA28)</f>
        <v>-90.891870967741937</v>
      </c>
      <c r="AC28" s="91">
        <f t="shared" ref="AC28:AF28" si="72">-AC171-AC172</f>
        <v>-19.010064516129031</v>
      </c>
      <c r="AD28" s="91">
        <f t="shared" si="72"/>
        <v>-19.010064516129031</v>
      </c>
      <c r="AE28" s="91">
        <f t="shared" si="72"/>
        <v>-19.010064516129031</v>
      </c>
      <c r="AF28" s="91">
        <f t="shared" si="72"/>
        <v>-19.010064516129031</v>
      </c>
      <c r="AG28" s="92">
        <f>SUM(AC28:AF28)</f>
        <v>-76.040258064516124</v>
      </c>
      <c r="AH28" s="91">
        <f t="shared" ref="AH28:AK28" si="73">-AH171-AH172</f>
        <v>-19.010064516129031</v>
      </c>
      <c r="AI28" s="91">
        <f t="shared" si="73"/>
        <v>-19.010064516129031</v>
      </c>
      <c r="AJ28" s="91">
        <f t="shared" si="73"/>
        <v>-19.010064516129031</v>
      </c>
      <c r="AK28" s="91">
        <f t="shared" si="73"/>
        <v>-19.010064516129031</v>
      </c>
      <c r="AL28" s="92">
        <f>SUM(AH28:AK28)</f>
        <v>-76.040258064516124</v>
      </c>
      <c r="AM28" s="91">
        <f t="shared" ref="AM28:AP28" si="74">-AM171-AM172</f>
        <v>-19.010064516129031</v>
      </c>
      <c r="AN28" s="91">
        <f t="shared" si="74"/>
        <v>-19.010064516129031</v>
      </c>
      <c r="AO28" s="91">
        <f t="shared" si="74"/>
        <v>-19.010064516129031</v>
      </c>
      <c r="AP28" s="91">
        <f t="shared" si="74"/>
        <v>-19.010064516129031</v>
      </c>
      <c r="AQ28" s="92">
        <f>SUM(AM28:AP28)</f>
        <v>-76.040258064516124</v>
      </c>
      <c r="AR28" s="91">
        <f t="shared" ref="AR28:AU28" si="75">-AR171-AR172</f>
        <v>-19.010064516129031</v>
      </c>
      <c r="AS28" s="91">
        <f t="shared" si="75"/>
        <v>-19.010064516129031</v>
      </c>
      <c r="AT28" s="91">
        <f t="shared" si="75"/>
        <v>-19.010064516129031</v>
      </c>
      <c r="AU28" s="91">
        <f t="shared" si="75"/>
        <v>-19.010064516129031</v>
      </c>
      <c r="AV28" s="92">
        <f>SUM(AR28:AU28)</f>
        <v>-76.040258064516124</v>
      </c>
    </row>
    <row r="29" spans="1:48" s="8" customFormat="1" x14ac:dyDescent="0.3">
      <c r="A29" s="20"/>
      <c r="B29" s="85" t="s">
        <v>73</v>
      </c>
      <c r="C29" s="86"/>
      <c r="D29" s="108">
        <f t="shared" ref="D29:AQ29" si="76">+D19+D20+D21+D22-D24-D26+D28</f>
        <v>940.04999999999916</v>
      </c>
      <c r="E29" s="108">
        <f t="shared" si="76"/>
        <v>750.42000000000007</v>
      </c>
      <c r="F29" s="108">
        <f t="shared" si="76"/>
        <v>953.94</v>
      </c>
      <c r="G29" s="108">
        <f t="shared" si="76"/>
        <v>850.00000000000102</v>
      </c>
      <c r="H29" s="177">
        <f t="shared" si="76"/>
        <v>3494.4100000000039</v>
      </c>
      <c r="I29" s="108">
        <f t="shared" si="76"/>
        <v>946.2999999999987</v>
      </c>
      <c r="J29" s="108">
        <f t="shared" si="76"/>
        <v>372.19999999999902</v>
      </c>
      <c r="K29" s="108">
        <f t="shared" si="76"/>
        <v>-539.7749999999993</v>
      </c>
      <c r="L29" s="80">
        <f>+L19+L20+L21+L22-L24-L26+L28</f>
        <v>601.29</v>
      </c>
      <c r="M29" s="81">
        <f t="shared" si="76"/>
        <v>1380.0150000000035</v>
      </c>
      <c r="N29" s="108">
        <f t="shared" si="76"/>
        <v>721.61000000000024</v>
      </c>
      <c r="O29" s="108">
        <f t="shared" si="76"/>
        <v>735.75199999999995</v>
      </c>
      <c r="P29" s="108">
        <f t="shared" si="76"/>
        <v>1193.2379999999987</v>
      </c>
      <c r="Q29" s="108">
        <f t="shared" si="76"/>
        <v>1183.4905999999996</v>
      </c>
      <c r="R29" s="177">
        <f t="shared" si="76"/>
        <v>3834.0905999999977</v>
      </c>
      <c r="S29" s="80">
        <f t="shared" si="76"/>
        <v>847.15199999999982</v>
      </c>
      <c r="T29" s="80">
        <f t="shared" si="76"/>
        <v>676.04400000000032</v>
      </c>
      <c r="U29" s="80">
        <f t="shared" si="76"/>
        <v>967.37999999999965</v>
      </c>
      <c r="V29" s="80">
        <f t="shared" si="76"/>
        <v>846.21532698277872</v>
      </c>
      <c r="W29" s="177">
        <f t="shared" si="76"/>
        <v>3336.7913269827695</v>
      </c>
      <c r="X29" s="80">
        <f t="shared" si="76"/>
        <v>886.24541483190922</v>
      </c>
      <c r="Y29" s="80">
        <f t="shared" si="76"/>
        <v>830.40411214180608</v>
      </c>
      <c r="Z29" s="80">
        <f t="shared" si="76"/>
        <v>1058.0803748684057</v>
      </c>
      <c r="AA29" s="80">
        <f t="shared" si="76"/>
        <v>1126.6710846733388</v>
      </c>
      <c r="AB29" s="81">
        <f t="shared" si="76"/>
        <v>3901.4009865154612</v>
      </c>
      <c r="AC29" s="80">
        <f t="shared" si="76"/>
        <v>1154.3323535021784</v>
      </c>
      <c r="AD29" s="80">
        <f t="shared" si="76"/>
        <v>958.64669447343852</v>
      </c>
      <c r="AE29" s="80">
        <f t="shared" si="76"/>
        <v>1184.4857424845316</v>
      </c>
      <c r="AF29" s="80">
        <f t="shared" si="76"/>
        <v>1170.4762091120629</v>
      </c>
      <c r="AG29" s="81">
        <f t="shared" si="76"/>
        <v>4467.9409995722144</v>
      </c>
      <c r="AH29" s="80">
        <f t="shared" si="76"/>
        <v>1351.4674951343061</v>
      </c>
      <c r="AI29" s="80">
        <f t="shared" si="76"/>
        <v>1135.5728806270079</v>
      </c>
      <c r="AJ29" s="80">
        <f t="shared" si="76"/>
        <v>1444.6738664706393</v>
      </c>
      <c r="AK29" s="80">
        <f t="shared" si="76"/>
        <v>1350.9639693613567</v>
      </c>
      <c r="AL29" s="81">
        <f t="shared" si="76"/>
        <v>5282.6782115933083</v>
      </c>
      <c r="AM29" s="80">
        <f t="shared" si="76"/>
        <v>1456.0474321975437</v>
      </c>
      <c r="AN29" s="80">
        <f t="shared" si="76"/>
        <v>1210.3607324846275</v>
      </c>
      <c r="AO29" s="80">
        <f t="shared" si="76"/>
        <v>1532.1904764838928</v>
      </c>
      <c r="AP29" s="80">
        <f t="shared" si="76"/>
        <v>1461.1910832417802</v>
      </c>
      <c r="AQ29" s="81">
        <f t="shared" si="76"/>
        <v>5659.7897244078458</v>
      </c>
      <c r="AR29" s="80">
        <f t="shared" ref="AR29:AV29" si="77">+AR19+AR20+AR21+AR22-AR24-AR26+AR28</f>
        <v>1561.7120931577406</v>
      </c>
      <c r="AS29" s="80">
        <f t="shared" si="77"/>
        <v>1300.7197112154345</v>
      </c>
      <c r="AT29" s="80">
        <f t="shared" si="77"/>
        <v>1642.1555312020541</v>
      </c>
      <c r="AU29" s="80">
        <f t="shared" si="77"/>
        <v>1569.4196731011837</v>
      </c>
      <c r="AV29" s="81">
        <f t="shared" si="77"/>
        <v>6074.0070086764254</v>
      </c>
    </row>
    <row r="30" spans="1:48" x14ac:dyDescent="0.3">
      <c r="B30" s="436" t="s">
        <v>0</v>
      </c>
      <c r="C30" s="437"/>
      <c r="D30" s="101">
        <v>1242</v>
      </c>
      <c r="E30" s="101">
        <v>1239.2</v>
      </c>
      <c r="F30" s="101">
        <v>1211</v>
      </c>
      <c r="G30" s="101">
        <v>1210.7904210526317</v>
      </c>
      <c r="H30" s="169">
        <v>1221.2</v>
      </c>
      <c r="I30" s="101">
        <v>1180.4000000000001</v>
      </c>
      <c r="J30" s="101">
        <v>1171.8</v>
      </c>
      <c r="K30" s="101">
        <v>1168.5</v>
      </c>
      <c r="L30" s="101">
        <v>1167.3874645009873</v>
      </c>
      <c r="M30" s="17">
        <f>+(I27/M27*I30)+(J27/M27*J30)+(K27/M27*K30)+(L27/M27*L30)</f>
        <v>1180.550811766758</v>
      </c>
      <c r="N30" s="101">
        <v>1175</v>
      </c>
      <c r="O30" s="101">
        <v>1177.5</v>
      </c>
      <c r="P30" s="101">
        <v>1178.5</v>
      </c>
      <c r="Q30" s="101">
        <v>1179.5008492569002</v>
      </c>
      <c r="R30" s="169">
        <f>+(N27/R27*N30)+(O27/R27*O30)+(P27/R27*P30)+(Q27/R27*Q30)</f>
        <v>1178.2449155662418</v>
      </c>
      <c r="S30" s="16">
        <v>1169.5999999999999</v>
      </c>
      <c r="T30" s="16">
        <v>1149.2</v>
      </c>
      <c r="U30" s="16">
        <v>1147</v>
      </c>
      <c r="V30" s="16">
        <f>U30*(1+V151)-V155-V158-V161</f>
        <v>1149.2940000000001</v>
      </c>
      <c r="W30" s="169">
        <f>+(S27/W27*S30)+(T27/W27*T30)+(U27/W27*U30)+(V27/W27*V30)</f>
        <v>1153.840364066876</v>
      </c>
      <c r="X30" s="16">
        <f>V30*(1+X151)-X155-X158-X161</f>
        <v>1151.5925880000002</v>
      </c>
      <c r="Y30" s="16">
        <f>X30*(1+Y151)-Y155-Y158-Y161</f>
        <v>1153.8957731760001</v>
      </c>
      <c r="Z30" s="16">
        <f>Y30*(1+Z151)-Z155-Z158-Z161</f>
        <v>1156.2035647223522</v>
      </c>
      <c r="AA30" s="16">
        <f>Z30*(1+AA151)-AA155-AA158-AA161</f>
        <v>1158.5159718517968</v>
      </c>
      <c r="AB30" s="17">
        <f>+(X27/AB27*X30)+(Y27/AB27*Y30)+(Z27/AB27*Z30)+(AA27/AB27*AA30)</f>
        <v>1155.382081961412</v>
      </c>
      <c r="AC30" s="16">
        <f>AA30*(1+AC151)-AC155-AC158-AC161</f>
        <v>1160.8330037955004</v>
      </c>
      <c r="AD30" s="16">
        <f>AC30*(1+AD151)-AD155-AD158-AD161</f>
        <v>1163.1546698030913</v>
      </c>
      <c r="AE30" s="16">
        <f>AD30*(1+AE151)-AE155-AE158-AE161</f>
        <v>1164.5668652818176</v>
      </c>
      <c r="AF30" s="16">
        <f>AE30*(1+AF151)-AF155-AF158-AF161</f>
        <v>1165.9818851515013</v>
      </c>
      <c r="AG30" s="17">
        <f>+(AC27/AG27*AC30)+(AD27/AG27*AD30)+(AE27/AG27*AE30)+(AF27/AG27*AF30)</f>
        <v>1163.6713838878973</v>
      </c>
      <c r="AH30" s="16">
        <f>AF30*(1+AH151)-AH155-AH158-AH161</f>
        <v>1167.4432642923948</v>
      </c>
      <c r="AI30" s="16">
        <f>AH30*(1+AI151)-AI155-AI158-AI161</f>
        <v>1168.9075661915701</v>
      </c>
      <c r="AJ30" s="16">
        <f>AI30*(1+AJ151)-AJ155-AJ158-AJ161</f>
        <v>1126.0568296284789</v>
      </c>
      <c r="AK30" s="16">
        <f>AJ30*(1+AK151)-AK155-AK158-AK161</f>
        <v>1083.1203915922615</v>
      </c>
      <c r="AL30" s="17">
        <f>+(AH27/AL27*AH30)+(AI27/AL27*AI30)+(AJ27/AL27*AJ30)+(AK27/AL27*AK30)</f>
        <v>1134.8225214314575</v>
      </c>
      <c r="AM30" s="16">
        <f>AK30*(1+AM151)-AM155-AM158-AM161</f>
        <v>1083.198343019187</v>
      </c>
      <c r="AN30" s="16">
        <f>AM30*(1+AN151)-AN155-AN158-AN161</f>
        <v>1083.2764503489661</v>
      </c>
      <c r="AO30" s="16">
        <f>AN30*(1+AO151)-AO155-AO158-AO161</f>
        <v>1083.354713893405</v>
      </c>
      <c r="AP30" s="16">
        <f>AO30*(1+AP151)-AP155-AP158-AP161</f>
        <v>1083.4331339649327</v>
      </c>
      <c r="AQ30" s="17">
        <f>+(AM27/AQ27*AM30)+(AN27/AQ27*AN30)+(AO27/AQ27*AO30)+(AP27/AQ27*AP30)</f>
        <v>1083.3180711966736</v>
      </c>
      <c r="AR30" s="16">
        <f>AP30*(1+AR151)-AR155-AR158-AR161</f>
        <v>1083.552657726726</v>
      </c>
      <c r="AS30" s="16">
        <f>AR30*(1+AS151)-AS155-AS158-AS161</f>
        <v>1083.6724205360429</v>
      </c>
      <c r="AT30" s="16">
        <f>AS30*(1+AT151)-AT155-AT158-AT161</f>
        <v>1083.7924228709783</v>
      </c>
      <c r="AU30" s="16">
        <f>AT30*(1+AU151)-AU155-AU158-AU161</f>
        <v>1083.9126652105836</v>
      </c>
      <c r="AV30" s="17">
        <f>+(AR27/AV27*AR30)+(AS27/AV27*AS30)+(AT27/AV27*AT30)+(AU27/AV27*AU30)</f>
        <v>1083.7362566071399</v>
      </c>
    </row>
    <row r="31" spans="1:48" ht="15.75" customHeight="1" x14ac:dyDescent="0.3">
      <c r="B31" s="436" t="s">
        <v>1</v>
      </c>
      <c r="C31" s="437"/>
      <c r="D31" s="101">
        <v>1253.4000000000001</v>
      </c>
      <c r="E31" s="101">
        <v>1250.7</v>
      </c>
      <c r="F31" s="101">
        <v>1223</v>
      </c>
      <c r="G31" s="101">
        <v>1222.8144210526316</v>
      </c>
      <c r="H31" s="169">
        <v>1233.2</v>
      </c>
      <c r="I31" s="101">
        <v>1191</v>
      </c>
      <c r="J31" s="101">
        <v>1180.7</v>
      </c>
      <c r="K31" s="101">
        <v>1168.5</v>
      </c>
      <c r="L31" s="101">
        <v>1179</v>
      </c>
      <c r="M31" s="17">
        <f>+(I27/M27*I31)+(J27/M27*J31)+(K27/M27*K31)+(L27/M27*L31)</f>
        <v>1198.7240978132002</v>
      </c>
      <c r="N31" s="101">
        <v>1183</v>
      </c>
      <c r="O31" s="101">
        <v>1184.8</v>
      </c>
      <c r="P31" s="101">
        <v>1186.2</v>
      </c>
      <c r="Q31" s="101">
        <v>1187.9000000000001</v>
      </c>
      <c r="R31" s="169">
        <f>+(N27/R27*N31)+(O27/R27*O31)+(P27/R27*P31)+(Q27/R27*Q31)</f>
        <v>1186.2203076629999</v>
      </c>
      <c r="S31" s="16">
        <v>1176.5999999999999</v>
      </c>
      <c r="T31" s="16">
        <v>1153.9000000000001</v>
      </c>
      <c r="U31" s="16">
        <v>1151</v>
      </c>
      <c r="V31" s="16">
        <f>U31*(1+V152)-V155-V158-V161</f>
        <v>1152.1509999999998</v>
      </c>
      <c r="W31" s="169">
        <f>+(S27/W27*S31)+(T27/W27*T31)+(U27/W27*U31)+(V27/W27*V31)</f>
        <v>1158.4853599073713</v>
      </c>
      <c r="X31" s="16">
        <f>V31*(1+X152)-X155-X158-X161</f>
        <v>1153.3031509999996</v>
      </c>
      <c r="Y31" s="16">
        <f>X31*(1+Y152)-Y155-Y158-Y161</f>
        <v>1154.4564541509994</v>
      </c>
      <c r="Z31" s="16">
        <f>Y31*(1+Z152)-Z155-Z158-Z161</f>
        <v>1155.6109106051504</v>
      </c>
      <c r="AA31" s="16">
        <f>Z31*(1+AA152)-AA155-AA158-AA161</f>
        <v>1156.7665215157554</v>
      </c>
      <c r="AB31" s="17">
        <f>+(X27/AB27*X31)+(Y27/AB27*Y31)+(Z27/AB27*Z31)+(AA27/AB27*AA31)</f>
        <v>1155.1993791910168</v>
      </c>
      <c r="AC31" s="16">
        <f>AA31*(1+AC152)-AC155-AC158-AC161</f>
        <v>1157.923288037271</v>
      </c>
      <c r="AD31" s="16">
        <f>AC31*(1+AD152)-AD155-AD158-AD161</f>
        <v>1159.0812113253082</v>
      </c>
      <c r="AE31" s="16">
        <f>AD31*(1+AE152)-AE155-AE158-AE161</f>
        <v>1159.3261786757535</v>
      </c>
      <c r="AF31" s="16">
        <f>AE31*(1+AF152)-AF155-AF158-AF161</f>
        <v>1159.5713909935491</v>
      </c>
      <c r="AG31" s="17">
        <f>+(AC27/AG27*AC31)+(AD27/AG27*AD31)+(AE27/AG27*AE31)+(AF27/AG27*AF31)</f>
        <v>1158.9754031055252</v>
      </c>
      <c r="AH31" s="16">
        <f>AF31*(1+AH152)-AH155-AH158-AH161</f>
        <v>1159.8603777551332</v>
      </c>
      <c r="AI31" s="16">
        <f>AH31*(1+AI152)-AI155-AI158-AI161</f>
        <v>1160.1496535034787</v>
      </c>
      <c r="AJ31" s="16">
        <f>AI31*(1+AJ152)-AJ155-AJ158-AJ161</f>
        <v>1116.1212514615077</v>
      </c>
      <c r="AK31" s="16">
        <f>AJ31*(1+AK152)-AK155-AK158-AK161</f>
        <v>1072.0488210174947</v>
      </c>
      <c r="AL31" s="17">
        <f>+(AH27/AL27*AH31)+(AI27/AL27*AI31)+(AJ27/AL27*AJ31)+(AK27/AL27*AK31)</f>
        <v>1125.4502712503768</v>
      </c>
      <c r="AM31" s="16">
        <f>AK31*(1+AM152)-AM155-AM158-AM161</f>
        <v>1071.032580482253</v>
      </c>
      <c r="AN31" s="16">
        <f>AM31*(1+AN152)-AN155-AN158-AN161</f>
        <v>1070.015323706476</v>
      </c>
      <c r="AO31" s="16">
        <f>AN31*(1+AO152)-AO155-AO158-AO161</f>
        <v>1068.9970496739234</v>
      </c>
      <c r="AP31" s="16">
        <f>AO31*(1+AP152)-AP155-AP158-AP161</f>
        <v>1067.977757367338</v>
      </c>
      <c r="AQ31" s="17">
        <f>+(AM27/AQ27*AM31)+(AN27/AQ27*AN31)+(AO27/AQ27*AO31)+(AP27/AQ27*AP31)</f>
        <v>1069.4743263233165</v>
      </c>
      <c r="AR31" s="16">
        <f>AP31*(1+AR152)-AR155-AR158-AR161</f>
        <v>1066.9983926185687</v>
      </c>
      <c r="AS31" s="16">
        <f>AR31*(1+AS152)-AS155-AS158-AS161</f>
        <v>1066.0180485050505</v>
      </c>
      <c r="AT31" s="16">
        <f>AS31*(1+AT152)-AT155-AT158-AT161</f>
        <v>1065.0367240474188</v>
      </c>
      <c r="AU31" s="16">
        <f>AT31*(1+AU152)-AU155-AU158-AU161</f>
        <v>1064.0544182653296</v>
      </c>
      <c r="AV31" s="17">
        <f>+(AR27/AV27*AR31)+(AS27/AV27*AS31)+(AT27/AV27*AT31)+(AU27/AV27*AU31)</f>
        <v>1065.4965317586</v>
      </c>
    </row>
    <row r="32" spans="1:48" ht="15.75" customHeight="1" x14ac:dyDescent="0.3">
      <c r="B32" s="438" t="s">
        <v>6</v>
      </c>
      <c r="C32" s="439"/>
      <c r="D32" s="110">
        <f t="shared" ref="D32:AQ32" si="78">D27/D30</f>
        <v>0.61239935587761718</v>
      </c>
      <c r="E32" s="110">
        <f t="shared" si="78"/>
        <v>0.53518398967075509</v>
      </c>
      <c r="F32" s="110">
        <f t="shared" si="78"/>
        <v>1.1336085879438487</v>
      </c>
      <c r="G32" s="110">
        <f t="shared" si="78"/>
        <v>0.66287276975832043</v>
      </c>
      <c r="H32" s="174">
        <f t="shared" si="78"/>
        <v>2.947264985260404</v>
      </c>
      <c r="I32" s="110">
        <f t="shared" si="78"/>
        <v>0.75033886818027684</v>
      </c>
      <c r="J32" s="110">
        <f t="shared" si="78"/>
        <v>0.28025260283324721</v>
      </c>
      <c r="K32" s="110">
        <f t="shared" si="78"/>
        <v>-0.58057338468121455</v>
      </c>
      <c r="L32" s="110">
        <f t="shared" si="78"/>
        <v>0.3363065065700544</v>
      </c>
      <c r="M32" s="25">
        <f t="shared" si="78"/>
        <v>0.78632786555858059</v>
      </c>
      <c r="N32" s="110">
        <f t="shared" si="78"/>
        <v>0.52953191489361717</v>
      </c>
      <c r="O32" s="110">
        <f t="shared" si="78"/>
        <v>0.55999999999999994</v>
      </c>
      <c r="P32" s="110">
        <f t="shared" si="78"/>
        <v>0.97870173949936268</v>
      </c>
      <c r="Q32" s="110">
        <f t="shared" si="78"/>
        <v>1.495887011112873</v>
      </c>
      <c r="R32" s="174">
        <f t="shared" si="78"/>
        <v>3.5641146798260079</v>
      </c>
      <c r="S32" s="24">
        <f t="shared" si="78"/>
        <v>0.69758891928864586</v>
      </c>
      <c r="T32" s="24">
        <f t="shared" si="78"/>
        <v>0.58710407239819018</v>
      </c>
      <c r="U32" s="24">
        <f t="shared" si="78"/>
        <v>0.79590235396686981</v>
      </c>
      <c r="V32" s="24">
        <f t="shared" si="78"/>
        <v>0.6665631286704129</v>
      </c>
      <c r="W32" s="174">
        <f t="shared" si="78"/>
        <v>2.7469805209712854</v>
      </c>
      <c r="X32" s="24">
        <f t="shared" si="78"/>
        <v>0.69999329680581779</v>
      </c>
      <c r="Y32" s="24">
        <f t="shared" si="78"/>
        <v>0.68066301559988318</v>
      </c>
      <c r="Z32" s="24">
        <f t="shared" si="78"/>
        <v>0.87622151522064851</v>
      </c>
      <c r="AA32" s="24">
        <f t="shared" si="78"/>
        <v>0.93367823618390455</v>
      </c>
      <c r="AB32" s="25">
        <f t="shared" si="78"/>
        <v>3.190540094948711</v>
      </c>
      <c r="AC32" s="24">
        <f t="shared" si="78"/>
        <v>0.95564341674570108</v>
      </c>
      <c r="AD32" s="24">
        <f t="shared" si="78"/>
        <v>0.78549893897106482</v>
      </c>
      <c r="AE32" s="24">
        <f t="shared" si="78"/>
        <v>0.97847177433209032</v>
      </c>
      <c r="AF32" s="24">
        <f t="shared" si="78"/>
        <v>0.96526909033578367</v>
      </c>
      <c r="AG32" s="25">
        <f t="shared" si="78"/>
        <v>3.6848729950807271</v>
      </c>
      <c r="AH32" s="24">
        <f t="shared" si="78"/>
        <v>1.1190929783147201</v>
      </c>
      <c r="AI32" s="24">
        <f t="shared" si="78"/>
        <v>0.9329933150286438</v>
      </c>
      <c r="AJ32" s="24">
        <f t="shared" si="78"/>
        <v>1.2429958188243193</v>
      </c>
      <c r="AK32" s="24">
        <f t="shared" si="78"/>
        <v>1.205751497262104</v>
      </c>
      <c r="AL32" s="25">
        <f t="shared" si="78"/>
        <v>4.496490308653101</v>
      </c>
      <c r="AM32" s="24">
        <f t="shared" si="78"/>
        <v>1.3026769342913205</v>
      </c>
      <c r="AN32" s="24">
        <f t="shared" si="78"/>
        <v>1.0757833760951274</v>
      </c>
      <c r="AO32" s="24">
        <f t="shared" si="78"/>
        <v>1.37277340646376</v>
      </c>
      <c r="AP32" s="24">
        <f t="shared" si="78"/>
        <v>1.3071421792087703</v>
      </c>
      <c r="AQ32" s="25">
        <f t="shared" si="78"/>
        <v>5.0583758622425057</v>
      </c>
      <c r="AR32" s="24">
        <f t="shared" ref="AR32:AV32" si="79">AR27/AR30</f>
        <v>1.3997678348700886</v>
      </c>
      <c r="AS32" s="24">
        <f t="shared" si="79"/>
        <v>1.1587724776740298</v>
      </c>
      <c r="AT32" s="24">
        <f t="shared" si="79"/>
        <v>1.4736821941301947</v>
      </c>
      <c r="AU32" s="24">
        <f t="shared" si="79"/>
        <v>1.406413806707522</v>
      </c>
      <c r="AV32" s="25">
        <f t="shared" si="79"/>
        <v>5.4386362279633174</v>
      </c>
    </row>
    <row r="33" spans="2:48" x14ac:dyDescent="0.3">
      <c r="B33" s="438" t="s">
        <v>7</v>
      </c>
      <c r="C33" s="439"/>
      <c r="D33" s="110">
        <f t="shared" ref="D33:AQ33" si="80">D27/D31</f>
        <v>0.60682942396681061</v>
      </c>
      <c r="E33" s="110">
        <f t="shared" si="80"/>
        <v>0.53026305269049312</v>
      </c>
      <c r="F33" s="110">
        <f t="shared" si="80"/>
        <v>1.1224856909239582</v>
      </c>
      <c r="G33" s="110">
        <f t="shared" si="80"/>
        <v>0.65635470614510849</v>
      </c>
      <c r="H33" s="174">
        <f t="shared" si="80"/>
        <v>2.9185857930587131</v>
      </c>
      <c r="I33" s="110">
        <f t="shared" si="80"/>
        <v>0.74366078925272783</v>
      </c>
      <c r="J33" s="110">
        <f t="shared" si="80"/>
        <v>0.27814008638942922</v>
      </c>
      <c r="K33" s="110">
        <f t="shared" si="80"/>
        <v>-0.58057338468121455</v>
      </c>
      <c r="L33" s="110">
        <f t="shared" si="80"/>
        <v>0.3329940627650555</v>
      </c>
      <c r="M33" s="174">
        <f t="shared" si="80"/>
        <v>0.7744067226924668</v>
      </c>
      <c r="N33" s="110">
        <f t="shared" si="80"/>
        <v>0.52595097210481845</v>
      </c>
      <c r="O33" s="110">
        <f t="shared" si="80"/>
        <v>0.55654962862930457</v>
      </c>
      <c r="P33" s="110">
        <f t="shared" si="80"/>
        <v>0.97234867644579237</v>
      </c>
      <c r="Q33" s="110">
        <f t="shared" si="80"/>
        <v>1.4853102112972469</v>
      </c>
      <c r="R33" s="174">
        <f t="shared" si="80"/>
        <v>3.5401518359379072</v>
      </c>
      <c r="S33" s="24">
        <f t="shared" si="80"/>
        <v>0.69343872174060861</v>
      </c>
      <c r="T33" s="24">
        <f t="shared" si="80"/>
        <v>0.58471271340670783</v>
      </c>
      <c r="U33" s="24">
        <f t="shared" si="80"/>
        <v>0.79313640312771472</v>
      </c>
      <c r="V33" s="24">
        <f t="shared" si="80"/>
        <v>0.66491024562069867</v>
      </c>
      <c r="W33" s="174">
        <f t="shared" si="80"/>
        <v>2.7359663868825703</v>
      </c>
      <c r="X33" s="24">
        <f t="shared" si="80"/>
        <v>0.69895507660089995</v>
      </c>
      <c r="Y33" s="24">
        <f t="shared" si="80"/>
        <v>0.68033244028726725</v>
      </c>
      <c r="Z33" s="24">
        <f t="shared" si="80"/>
        <v>0.87667088471327859</v>
      </c>
      <c r="AA33" s="24">
        <f t="shared" si="80"/>
        <v>0.93509029615768935</v>
      </c>
      <c r="AB33" s="25">
        <f t="shared" si="80"/>
        <v>3.1910447009283409</v>
      </c>
      <c r="AC33" s="24">
        <f t="shared" si="80"/>
        <v>0.95804482859887008</v>
      </c>
      <c r="AD33" s="24">
        <f t="shared" si="80"/>
        <v>0.78825948523907197</v>
      </c>
      <c r="AE33" s="24">
        <f t="shared" si="80"/>
        <v>0.98289491599530321</v>
      </c>
      <c r="AF33" s="24">
        <f t="shared" si="80"/>
        <v>0.97060541711351445</v>
      </c>
      <c r="AG33" s="25">
        <f t="shared" si="80"/>
        <v>3.6998035041528037</v>
      </c>
      <c r="AH33" s="24">
        <f t="shared" si="80"/>
        <v>1.1264093374575601</v>
      </c>
      <c r="AI33" s="24">
        <f t="shared" si="80"/>
        <v>0.94003643568718842</v>
      </c>
      <c r="AJ33" s="24">
        <f t="shared" si="80"/>
        <v>1.2540608192469669</v>
      </c>
      <c r="AK33" s="24">
        <f t="shared" si="80"/>
        <v>1.2182038805266067</v>
      </c>
      <c r="AL33" s="25">
        <f t="shared" si="80"/>
        <v>4.5339350835898751</v>
      </c>
      <c r="AM33" s="24">
        <f t="shared" si="80"/>
        <v>1.3174739241623414</v>
      </c>
      <c r="AN33" s="24">
        <f t="shared" si="80"/>
        <v>1.0891159885112431</v>
      </c>
      <c r="AO33" s="24">
        <f t="shared" si="80"/>
        <v>1.3912110809413958</v>
      </c>
      <c r="AP33" s="24">
        <f t="shared" si="80"/>
        <v>1.3260586543009789</v>
      </c>
      <c r="AQ33" s="25">
        <f t="shared" si="80"/>
        <v>5.1238536985840044</v>
      </c>
      <c r="AR33" s="24">
        <f t="shared" ref="AR33:AV33" si="81">AR27/AR31</f>
        <v>1.421484950836349</v>
      </c>
      <c r="AS33" s="24">
        <f t="shared" si="81"/>
        <v>1.1779629599072536</v>
      </c>
      <c r="AT33" s="24">
        <f t="shared" si="81"/>
        <v>1.4996342939692586</v>
      </c>
      <c r="AU33" s="24">
        <f t="shared" si="81"/>
        <v>1.4326614423560291</v>
      </c>
      <c r="AV33" s="25">
        <f t="shared" si="81"/>
        <v>5.5317376369239115</v>
      </c>
    </row>
    <row r="34" spans="2:48" x14ac:dyDescent="0.3">
      <c r="B34" s="93" t="s">
        <v>74</v>
      </c>
      <c r="C34" s="100"/>
      <c r="D34" s="111">
        <f t="shared" ref="D34:AQ34" si="82">+D29/D31</f>
        <v>0.74999999999999922</v>
      </c>
      <c r="E34" s="111">
        <f t="shared" si="82"/>
        <v>0.60000000000000009</v>
      </c>
      <c r="F34" s="111">
        <f t="shared" si="82"/>
        <v>0.78</v>
      </c>
      <c r="G34" s="111">
        <f t="shared" si="82"/>
        <v>0.69511774261567683</v>
      </c>
      <c r="H34" s="172">
        <f t="shared" si="82"/>
        <v>2.8336117418099285</v>
      </c>
      <c r="I34" s="111">
        <f t="shared" si="82"/>
        <v>0.79454240134340781</v>
      </c>
      <c r="J34" s="111">
        <f t="shared" si="82"/>
        <v>0.31523672397730074</v>
      </c>
      <c r="K34" s="111">
        <f t="shared" si="82"/>
        <v>-0.46193838254171954</v>
      </c>
      <c r="L34" s="111">
        <f t="shared" si="82"/>
        <v>0.51</v>
      </c>
      <c r="M34" s="172">
        <f t="shared" si="82"/>
        <v>1.1512365543643674</v>
      </c>
      <c r="N34" s="111">
        <f t="shared" si="82"/>
        <v>0.60998309382924787</v>
      </c>
      <c r="O34" s="111">
        <f t="shared" si="82"/>
        <v>0.62099257258609042</v>
      </c>
      <c r="P34" s="111">
        <f t="shared" si="82"/>
        <v>1.0059332321699532</v>
      </c>
      <c r="Q34" s="111">
        <f t="shared" si="82"/>
        <v>0.99628807138648001</v>
      </c>
      <c r="R34" s="172">
        <f>+R29/R31+0.01</f>
        <v>3.2421909979383412</v>
      </c>
      <c r="S34" s="111">
        <f t="shared" si="82"/>
        <v>0.71999999999999986</v>
      </c>
      <c r="T34" s="111">
        <f t="shared" si="82"/>
        <v>0.58587745905191113</v>
      </c>
      <c r="U34" s="111">
        <f t="shared" si="82"/>
        <v>0.84046915725456095</v>
      </c>
      <c r="V34" s="419">
        <f t="shared" si="82"/>
        <v>0.73446564467919473</v>
      </c>
      <c r="W34" s="172">
        <f t="shared" si="82"/>
        <v>2.8803051315638277</v>
      </c>
      <c r="X34" s="82">
        <f t="shared" si="82"/>
        <v>0.76844098974625064</v>
      </c>
      <c r="Y34" s="82">
        <f t="shared" si="82"/>
        <v>0.71930310507250339</v>
      </c>
      <c r="Z34" s="82">
        <f t="shared" si="82"/>
        <v>0.91560261776546259</v>
      </c>
      <c r="AA34" s="82">
        <f t="shared" si="82"/>
        <v>0.97398313636966138</v>
      </c>
      <c r="AB34" s="83">
        <f t="shared" si="82"/>
        <v>3.3772533614479627</v>
      </c>
      <c r="AC34" s="82">
        <f t="shared" si="82"/>
        <v>0.9968988148246164</v>
      </c>
      <c r="AD34" s="82">
        <f t="shared" si="82"/>
        <v>0.82707465629376364</v>
      </c>
      <c r="AE34" s="82">
        <f t="shared" si="82"/>
        <v>1.0217018853464663</v>
      </c>
      <c r="AF34" s="82">
        <f t="shared" si="82"/>
        <v>1.0094041800299767</v>
      </c>
      <c r="AG34" s="83">
        <f t="shared" si="82"/>
        <v>3.8550783628368399</v>
      </c>
      <c r="AH34" s="82">
        <f t="shared" si="82"/>
        <v>1.1651984334097363</v>
      </c>
      <c r="AI34" s="82">
        <f t="shared" si="82"/>
        <v>0.97881585983131347</v>
      </c>
      <c r="AJ34" s="82">
        <f t="shared" si="82"/>
        <v>1.2943700019858126</v>
      </c>
      <c r="AK34" s="82">
        <f t="shared" si="82"/>
        <v>1.2601701926962059</v>
      </c>
      <c r="AL34" s="415">
        <f t="shared" si="82"/>
        <v>4.6938353000033004</v>
      </c>
      <c r="AM34" s="82">
        <f t="shared" si="82"/>
        <v>1.3594800557252238</v>
      </c>
      <c r="AN34" s="82">
        <f t="shared" si="82"/>
        <v>1.1311620550367472</v>
      </c>
      <c r="AO34" s="82">
        <f t="shared" si="82"/>
        <v>1.4332971984826877</v>
      </c>
      <c r="AP34" s="82">
        <f t="shared" si="82"/>
        <v>1.3681849393977537</v>
      </c>
      <c r="AQ34" s="83">
        <f t="shared" si="82"/>
        <v>5.2921230412938547</v>
      </c>
      <c r="AR34" s="82">
        <f t="shared" ref="AR34:AV34" si="83">+AR29/AR31</f>
        <v>1.4636499023443446</v>
      </c>
      <c r="AS34" s="82">
        <f t="shared" si="83"/>
        <v>1.2201666876461632</v>
      </c>
      <c r="AT34" s="82">
        <f t="shared" si="83"/>
        <v>1.5418769082078527</v>
      </c>
      <c r="AU34" s="82">
        <f t="shared" si="83"/>
        <v>1.4749430538146007</v>
      </c>
      <c r="AV34" s="83">
        <f t="shared" si="83"/>
        <v>5.7006351758379621</v>
      </c>
    </row>
    <row r="35" spans="2:48" x14ac:dyDescent="0.3">
      <c r="B35" s="38" t="s">
        <v>41</v>
      </c>
      <c r="C35" s="207"/>
      <c r="D35" s="239">
        <v>0.36</v>
      </c>
      <c r="E35" s="239">
        <v>0.36</v>
      </c>
      <c r="F35" s="239">
        <v>0.36</v>
      </c>
      <c r="G35" s="239">
        <v>0.41</v>
      </c>
      <c r="H35" s="174">
        <f>+SUM(D35:G35)</f>
        <v>1.49</v>
      </c>
      <c r="I35" s="239">
        <v>0.41</v>
      </c>
      <c r="J35" s="239">
        <v>0.41</v>
      </c>
      <c r="K35" s="239">
        <v>0.41</v>
      </c>
      <c r="L35" s="239">
        <f>K35*1.1</f>
        <v>0.45100000000000001</v>
      </c>
      <c r="M35" s="25">
        <f>+SUM(I35:L35)</f>
        <v>1.681</v>
      </c>
      <c r="N35" s="239">
        <f>+L35</f>
        <v>0.45100000000000001</v>
      </c>
      <c r="O35" s="239">
        <v>0.45</v>
      </c>
      <c r="P35" s="239">
        <v>0.45</v>
      </c>
      <c r="Q35" s="239">
        <v>0.49</v>
      </c>
      <c r="R35" s="25">
        <f>+SUM(N35:Q35)</f>
        <v>1.841</v>
      </c>
      <c r="S35" s="239">
        <v>0.49</v>
      </c>
      <c r="T35" s="239">
        <v>0.49</v>
      </c>
      <c r="U35" s="239">
        <v>0.49</v>
      </c>
      <c r="V35" s="240">
        <f>1.05*U35</f>
        <v>0.51449999999999996</v>
      </c>
      <c r="W35" s="25">
        <f>+SUM(S35:V35)</f>
        <v>1.9844999999999999</v>
      </c>
      <c r="X35" s="240">
        <f>+V35</f>
        <v>0.51449999999999996</v>
      </c>
      <c r="Y35" s="240">
        <f>+X35</f>
        <v>0.51449999999999996</v>
      </c>
      <c r="Z35" s="240">
        <f>+Y35</f>
        <v>0.51449999999999996</v>
      </c>
      <c r="AA35" s="240">
        <f>1.05*Z35</f>
        <v>0.54022499999999996</v>
      </c>
      <c r="AB35" s="25">
        <f>+SUM(X35:AA35)</f>
        <v>2.0837249999999998</v>
      </c>
      <c r="AC35" s="240">
        <f>+AA35</f>
        <v>0.54022499999999996</v>
      </c>
      <c r="AD35" s="240">
        <f>+AC35</f>
        <v>0.54022499999999996</v>
      </c>
      <c r="AE35" s="240">
        <f>+AD35</f>
        <v>0.54022499999999996</v>
      </c>
      <c r="AF35" s="240">
        <f>1.05*AE35</f>
        <v>0.56723625</v>
      </c>
      <c r="AG35" s="25">
        <f>+SUM(AC35:AF35)</f>
        <v>2.18791125</v>
      </c>
      <c r="AH35" s="240">
        <f>+AF35</f>
        <v>0.56723625</v>
      </c>
      <c r="AI35" s="240">
        <f>+AH35</f>
        <v>0.56723625</v>
      </c>
      <c r="AJ35" s="240">
        <f>+AI35</f>
        <v>0.56723625</v>
      </c>
      <c r="AK35" s="240">
        <f>1.05*AJ35</f>
        <v>0.59559806250000003</v>
      </c>
      <c r="AL35" s="25">
        <f>+SUM(AH35:AK35)</f>
        <v>2.2973068125</v>
      </c>
      <c r="AM35" s="240">
        <f>+AK35</f>
        <v>0.59559806250000003</v>
      </c>
      <c r="AN35" s="240">
        <f>+AM35</f>
        <v>0.59559806250000003</v>
      </c>
      <c r="AO35" s="240">
        <f>+AN35</f>
        <v>0.59559806250000003</v>
      </c>
      <c r="AP35" s="240">
        <f>1.02*AO35</f>
        <v>0.60751002375000007</v>
      </c>
      <c r="AQ35" s="25">
        <f>+SUM(AM35:AP35)</f>
        <v>2.3943042112500001</v>
      </c>
      <c r="AR35" s="240">
        <f>+AP35</f>
        <v>0.60751002375000007</v>
      </c>
      <c r="AS35" s="240">
        <f>+AR35</f>
        <v>0.60751002375000007</v>
      </c>
      <c r="AT35" s="240">
        <f>+AS35</f>
        <v>0.60751002375000007</v>
      </c>
      <c r="AU35" s="240">
        <f>1.02*AT35</f>
        <v>0.61966022422500011</v>
      </c>
      <c r="AV35" s="25">
        <f>+SUM(AR35:AU35)</f>
        <v>2.4421902954750001</v>
      </c>
    </row>
    <row r="36" spans="2:48" s="241" customFormat="1" x14ac:dyDescent="0.3">
      <c r="B36" s="242" t="s">
        <v>170</v>
      </c>
      <c r="C36" s="243"/>
      <c r="D36" s="211"/>
      <c r="E36" s="211"/>
      <c r="F36" s="211"/>
      <c r="G36" s="211"/>
      <c r="H36" s="244">
        <f>H35/H33</f>
        <v>0.51052122693931912</v>
      </c>
      <c r="I36" s="211"/>
      <c r="J36" s="211"/>
      <c r="K36" s="211"/>
      <c r="L36" s="211"/>
      <c r="M36" s="244">
        <f>M35/M33</f>
        <v>2.1706939657696651</v>
      </c>
      <c r="N36" s="211"/>
      <c r="O36" s="211"/>
      <c r="P36" s="211"/>
      <c r="Q36" s="211"/>
      <c r="R36" s="244">
        <f>R35/R33</f>
        <v>0.52003419212449009</v>
      </c>
      <c r="S36" s="211"/>
      <c r="T36" s="211"/>
      <c r="U36" s="211"/>
      <c r="V36" s="211"/>
      <c r="W36" s="244">
        <f>W35/W33</f>
        <v>0.72533785850387944</v>
      </c>
      <c r="X36" s="211"/>
      <c r="Y36" s="211"/>
      <c r="Z36" s="211"/>
      <c r="AA36" s="211"/>
      <c r="AB36" s="244">
        <f>AB35/AB33</f>
        <v>0.65299147937156787</v>
      </c>
      <c r="AC36" s="211"/>
      <c r="AD36" s="211"/>
      <c r="AE36" s="211"/>
      <c r="AF36" s="211"/>
      <c r="AG36" s="244">
        <f>AG35/AG33</f>
        <v>0.59135877014663163</v>
      </c>
      <c r="AH36" s="211"/>
      <c r="AI36" s="211"/>
      <c r="AJ36" s="211"/>
      <c r="AK36" s="211"/>
      <c r="AL36" s="490">
        <f>AL35/AL33</f>
        <v>0.5066915979487383</v>
      </c>
      <c r="AM36" s="211"/>
      <c r="AN36" s="211"/>
      <c r="AO36" s="211"/>
      <c r="AP36" s="211"/>
      <c r="AQ36" s="244">
        <f>AQ35/AQ33</f>
        <v>0.46728582666434737</v>
      </c>
      <c r="AR36" s="211"/>
      <c r="AS36" s="211"/>
      <c r="AT36" s="211"/>
      <c r="AU36" s="211"/>
      <c r="AV36" s="244">
        <f>AV35/AV33</f>
        <v>0.44148700747728398</v>
      </c>
    </row>
    <row r="37" spans="2:48" s="63" customFormat="1" x14ac:dyDescent="0.3">
      <c r="B37" s="198"/>
      <c r="C37" s="371"/>
      <c r="D37" s="372"/>
      <c r="E37" s="196"/>
      <c r="F37" s="196"/>
      <c r="G37" s="196">
        <f>G35/F35-1</f>
        <v>0.13888888888888884</v>
      </c>
      <c r="H37" s="196"/>
      <c r="I37" s="196"/>
      <c r="J37" s="196"/>
      <c r="K37" s="196"/>
      <c r="L37" s="196">
        <f>L35/K35-1</f>
        <v>0.10000000000000009</v>
      </c>
      <c r="M37" s="196"/>
      <c r="N37" s="196"/>
      <c r="O37" s="196"/>
      <c r="P37" s="196"/>
      <c r="Q37" s="196">
        <f>Q35/P35-1</f>
        <v>8.8888888888888795E-2</v>
      </c>
      <c r="R37" s="196"/>
      <c r="S37" s="196"/>
      <c r="T37" s="196"/>
      <c r="U37" s="196"/>
      <c r="V37" s="196"/>
      <c r="W37" s="392"/>
      <c r="X37" s="196"/>
      <c r="Y37" s="196"/>
      <c r="Z37" s="196"/>
      <c r="AA37" s="196"/>
      <c r="AB37" s="392"/>
      <c r="AC37" s="196"/>
      <c r="AD37" s="196"/>
      <c r="AE37" s="196"/>
      <c r="AF37" s="392"/>
      <c r="AG37" s="392"/>
      <c r="AH37" s="196"/>
      <c r="AI37" s="196"/>
      <c r="AJ37" s="196"/>
      <c r="AK37" s="196"/>
      <c r="AL37" s="372"/>
      <c r="AM37" s="196"/>
      <c r="AN37" s="196"/>
      <c r="AO37" s="196"/>
      <c r="AP37" s="196"/>
      <c r="AQ37" s="196"/>
      <c r="AR37" s="196"/>
      <c r="AS37" s="196"/>
      <c r="AT37" s="196"/>
      <c r="AU37" s="196"/>
      <c r="AV37" s="196"/>
    </row>
    <row r="38" spans="2:48" ht="15.6" x14ac:dyDescent="0.3">
      <c r="B38" s="432" t="s">
        <v>13</v>
      </c>
      <c r="C38" s="433"/>
      <c r="D38" s="13" t="s">
        <v>15</v>
      </c>
      <c r="E38" s="13" t="s">
        <v>82</v>
      </c>
      <c r="F38" s="13" t="s">
        <v>84</v>
      </c>
      <c r="G38" s="13" t="s">
        <v>147</v>
      </c>
      <c r="H38" s="39" t="s">
        <v>147</v>
      </c>
      <c r="I38" s="13" t="s">
        <v>146</v>
      </c>
      <c r="J38" s="13" t="s">
        <v>145</v>
      </c>
      <c r="K38" s="13" t="s">
        <v>144</v>
      </c>
      <c r="L38" s="13" t="s">
        <v>141</v>
      </c>
      <c r="M38" s="39" t="s">
        <v>141</v>
      </c>
      <c r="N38" s="13" t="s">
        <v>148</v>
      </c>
      <c r="O38" s="13" t="s">
        <v>156</v>
      </c>
      <c r="P38" s="13" t="s">
        <v>158</v>
      </c>
      <c r="Q38" s="13" t="s">
        <v>171</v>
      </c>
      <c r="R38" s="39" t="s">
        <v>171</v>
      </c>
      <c r="S38" s="13" t="s">
        <v>187</v>
      </c>
      <c r="T38" s="13" t="s">
        <v>190</v>
      </c>
      <c r="U38" s="13" t="s">
        <v>203</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160</v>
      </c>
      <c r="AN38" s="15" t="s">
        <v>161</v>
      </c>
      <c r="AO38" s="15" t="s">
        <v>162</v>
      </c>
      <c r="AP38" s="15" t="s">
        <v>163</v>
      </c>
      <c r="AQ38" s="41" t="s">
        <v>163</v>
      </c>
      <c r="AR38" s="15" t="s">
        <v>191</v>
      </c>
      <c r="AS38" s="15" t="s">
        <v>192</v>
      </c>
      <c r="AT38" s="15" t="s">
        <v>193</v>
      </c>
      <c r="AU38" s="15" t="s">
        <v>194</v>
      </c>
      <c r="AV38" s="41" t="s">
        <v>194</v>
      </c>
    </row>
    <row r="39" spans="2:48" ht="16.2" x14ac:dyDescent="0.45">
      <c r="B39" s="434"/>
      <c r="C39" s="435"/>
      <c r="D39" s="14" t="s">
        <v>19</v>
      </c>
      <c r="E39" s="14" t="s">
        <v>81</v>
      </c>
      <c r="F39" s="14" t="s">
        <v>85</v>
      </c>
      <c r="G39" s="14" t="s">
        <v>95</v>
      </c>
      <c r="H39" s="40" t="s">
        <v>96</v>
      </c>
      <c r="I39" s="14" t="s">
        <v>97</v>
      </c>
      <c r="J39" s="14" t="s">
        <v>98</v>
      </c>
      <c r="K39" s="14" t="s">
        <v>99</v>
      </c>
      <c r="L39" s="14" t="s">
        <v>142</v>
      </c>
      <c r="M39" s="40" t="s">
        <v>143</v>
      </c>
      <c r="N39" s="14" t="s">
        <v>149</v>
      </c>
      <c r="O39" s="14" t="s">
        <v>157</v>
      </c>
      <c r="P39" s="14" t="s">
        <v>159</v>
      </c>
      <c r="Q39" s="14" t="s">
        <v>172</v>
      </c>
      <c r="R39" s="40" t="s">
        <v>173</v>
      </c>
      <c r="S39" s="14" t="s">
        <v>188</v>
      </c>
      <c r="T39" s="14" t="s">
        <v>189</v>
      </c>
      <c r="U39" s="14" t="s">
        <v>204</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164</v>
      </c>
      <c r="AN39" s="12" t="s">
        <v>165</v>
      </c>
      <c r="AO39" s="12" t="s">
        <v>166</v>
      </c>
      <c r="AP39" s="12" t="s">
        <v>167</v>
      </c>
      <c r="AQ39" s="42" t="s">
        <v>168</v>
      </c>
      <c r="AR39" s="12" t="s">
        <v>195</v>
      </c>
      <c r="AS39" s="12" t="s">
        <v>196</v>
      </c>
      <c r="AT39" s="12" t="s">
        <v>197</v>
      </c>
      <c r="AU39" s="12" t="s">
        <v>198</v>
      </c>
      <c r="AV39" s="42" t="s">
        <v>199</v>
      </c>
    </row>
    <row r="40" spans="2:48" ht="17.399999999999999" x14ac:dyDescent="0.45">
      <c r="B40" s="448" t="s">
        <v>174</v>
      </c>
      <c r="C40" s="449"/>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3">
      <c r="B41" s="450" t="s">
        <v>175</v>
      </c>
      <c r="C41" s="451"/>
      <c r="D41" s="21">
        <v>9777</v>
      </c>
      <c r="E41" s="21">
        <v>9776</v>
      </c>
      <c r="F41" s="116">
        <v>9857</v>
      </c>
      <c r="G41" s="21">
        <v>9974</v>
      </c>
      <c r="H41" s="57"/>
      <c r="I41" s="21">
        <v>10020</v>
      </c>
      <c r="J41" s="21">
        <v>10051</v>
      </c>
      <c r="K41" s="21">
        <v>10017</v>
      </c>
      <c r="L41" s="21">
        <v>10109</v>
      </c>
      <c r="M41" s="57"/>
      <c r="N41" s="21">
        <v>10029</v>
      </c>
      <c r="O41" s="21">
        <f>+N41+O42</f>
        <v>9820</v>
      </c>
      <c r="P41" s="21">
        <f>+O41+P42</f>
        <v>9860</v>
      </c>
      <c r="Q41" s="21">
        <f>+P41+Q42</f>
        <v>9861</v>
      </c>
      <c r="R41" s="191"/>
      <c r="S41" s="21">
        <f>+Q41+S42</f>
        <v>9900</v>
      </c>
      <c r="T41" s="21">
        <f>+S41+T42</f>
        <v>9954</v>
      </c>
      <c r="U41" s="21">
        <f>+T41+U42</f>
        <v>10050</v>
      </c>
      <c r="V41" s="21">
        <f>+U41+V42</f>
        <v>10146</v>
      </c>
      <c r="W41" s="191">
        <f>V41</f>
        <v>10146</v>
      </c>
      <c r="X41" s="21">
        <f>+V41+X42</f>
        <v>10206.5</v>
      </c>
      <c r="Y41" s="21">
        <f>+X41+Y42</f>
        <v>10267</v>
      </c>
      <c r="Z41" s="21">
        <f>+Y41+Z42</f>
        <v>10327.5</v>
      </c>
      <c r="AA41" s="21">
        <f>+Z41+AA42</f>
        <v>10388</v>
      </c>
      <c r="AB41" s="191">
        <f>AA41</f>
        <v>10388</v>
      </c>
      <c r="AC41" s="21">
        <f>+AA41+AC42</f>
        <v>10460</v>
      </c>
      <c r="AD41" s="21">
        <f>+AC41+AD42</f>
        <v>10532</v>
      </c>
      <c r="AE41" s="21">
        <f>+AD41+AE42</f>
        <v>10605</v>
      </c>
      <c r="AF41" s="21">
        <f>+AE41+AF42</f>
        <v>10678</v>
      </c>
      <c r="AG41" s="191">
        <f>AF41</f>
        <v>10678</v>
      </c>
      <c r="AH41" s="21">
        <f>+AF41+AH42</f>
        <v>10764</v>
      </c>
      <c r="AI41" s="21">
        <f>+AH41+AI42</f>
        <v>10850</v>
      </c>
      <c r="AJ41" s="21">
        <f>+AI41+AJ42</f>
        <v>10936</v>
      </c>
      <c r="AK41" s="21">
        <f>+AJ41+AK42</f>
        <v>11022</v>
      </c>
      <c r="AL41" s="191">
        <f>AK41</f>
        <v>11022</v>
      </c>
      <c r="AM41" s="21">
        <f>+AK41+AM42</f>
        <v>11118</v>
      </c>
      <c r="AN41" s="21">
        <f>+AM41+AN42</f>
        <v>11214</v>
      </c>
      <c r="AO41" s="21">
        <f>+AN41+AO42</f>
        <v>11310</v>
      </c>
      <c r="AP41" s="21">
        <f>+AO41+AP42</f>
        <v>11406</v>
      </c>
      <c r="AQ41" s="191">
        <f>AP41</f>
        <v>11406</v>
      </c>
      <c r="AR41" s="21">
        <f>+AP41+AR42</f>
        <v>11502</v>
      </c>
      <c r="AS41" s="21">
        <f>+AR41+AS42</f>
        <v>11598</v>
      </c>
      <c r="AT41" s="21">
        <f>+AS41+AT42</f>
        <v>11694</v>
      </c>
      <c r="AU41" s="21">
        <f>+AT41+AU42</f>
        <v>11790</v>
      </c>
      <c r="AV41" s="191">
        <f>AU41</f>
        <v>11790</v>
      </c>
    </row>
    <row r="42" spans="2:48" outlineLevel="1" x14ac:dyDescent="0.3">
      <c r="B42" s="180" t="s">
        <v>46</v>
      </c>
      <c r="C42" s="201"/>
      <c r="D42" s="101">
        <f>+D41-9690</f>
        <v>87</v>
      </c>
      <c r="E42" s="101">
        <f>E41-D41</f>
        <v>-1</v>
      </c>
      <c r="F42" s="101">
        <f>F41-E41</f>
        <v>81</v>
      </c>
      <c r="G42" s="101">
        <f>G41-F41</f>
        <v>117</v>
      </c>
      <c r="H42" s="122">
        <f>+SUM(D42:G42)</f>
        <v>284</v>
      </c>
      <c r="I42" s="101">
        <f>I41-G41</f>
        <v>46</v>
      </c>
      <c r="J42" s="101">
        <f>J41-I41</f>
        <v>31</v>
      </c>
      <c r="K42" s="101">
        <f>K41-J41</f>
        <v>-34</v>
      </c>
      <c r="L42" s="101">
        <f>L41-K41</f>
        <v>92</v>
      </c>
      <c r="M42" s="122"/>
      <c r="N42" s="101">
        <v>-80</v>
      </c>
      <c r="O42" s="101">
        <v>-209</v>
      </c>
      <c r="P42" s="101">
        <v>40</v>
      </c>
      <c r="Q42" s="101">
        <v>1</v>
      </c>
      <c r="R42" s="26"/>
      <c r="S42" s="101">
        <v>39</v>
      </c>
      <c r="T42" s="101">
        <v>54</v>
      </c>
      <c r="U42" s="101">
        <v>96</v>
      </c>
      <c r="V42" s="33">
        <v>96</v>
      </c>
      <c r="W42" s="122">
        <f>+SUM(S42:V42)</f>
        <v>285</v>
      </c>
      <c r="X42" s="33">
        <v>60.5</v>
      </c>
      <c r="Y42" s="33">
        <v>60.5</v>
      </c>
      <c r="Z42" s="33">
        <v>60.5</v>
      </c>
      <c r="AA42" s="33">
        <v>60.5</v>
      </c>
      <c r="AB42" s="26">
        <f>+SUM(X42:AA42)</f>
        <v>242</v>
      </c>
      <c r="AC42" s="33">
        <v>72</v>
      </c>
      <c r="AD42" s="33">
        <v>72</v>
      </c>
      <c r="AE42" s="33">
        <v>73</v>
      </c>
      <c r="AF42" s="33">
        <v>73</v>
      </c>
      <c r="AG42" s="26">
        <f>+SUM(AC42:AF42)</f>
        <v>290</v>
      </c>
      <c r="AH42" s="33">
        <v>86</v>
      </c>
      <c r="AI42" s="33">
        <v>86</v>
      </c>
      <c r="AJ42" s="33">
        <v>86</v>
      </c>
      <c r="AK42" s="33">
        <v>86</v>
      </c>
      <c r="AL42" s="26">
        <f>+SUM(AH42:AK42)</f>
        <v>344</v>
      </c>
      <c r="AM42" s="33">
        <v>96</v>
      </c>
      <c r="AN42" s="33">
        <v>96</v>
      </c>
      <c r="AO42" s="33">
        <v>96</v>
      </c>
      <c r="AP42" s="33">
        <v>96</v>
      </c>
      <c r="AQ42" s="26">
        <f>+SUM(AM42:AP42)</f>
        <v>384</v>
      </c>
      <c r="AR42" s="33">
        <v>96</v>
      </c>
      <c r="AS42" s="33">
        <v>96</v>
      </c>
      <c r="AT42" s="33">
        <v>96</v>
      </c>
      <c r="AU42" s="33">
        <v>96</v>
      </c>
      <c r="AV42" s="26">
        <f>+SUM(AR42:AU42)</f>
        <v>384</v>
      </c>
    </row>
    <row r="43" spans="2:48" outlineLevel="1" x14ac:dyDescent="0.3">
      <c r="B43" s="180" t="s">
        <v>201</v>
      </c>
      <c r="C43" s="201"/>
      <c r="D43" s="101"/>
      <c r="E43" s="101">
        <f>AVERAGE(D41,E41)</f>
        <v>9776.5</v>
      </c>
      <c r="F43" s="101">
        <f t="shared" ref="F43:G43" si="84">AVERAGE(E41,F41)</f>
        <v>9816.5</v>
      </c>
      <c r="G43" s="101">
        <f t="shared" si="84"/>
        <v>9915.5</v>
      </c>
      <c r="H43" s="122"/>
      <c r="I43" s="101">
        <f>AVERAGE(G41,I41)</f>
        <v>9997</v>
      </c>
      <c r="J43" s="101">
        <f>AVERAGE(I41,J41)</f>
        <v>10035.5</v>
      </c>
      <c r="K43" s="101">
        <f t="shared" ref="K43:L43" si="85">AVERAGE(J41,K41)</f>
        <v>10034</v>
      </c>
      <c r="L43" s="101">
        <f t="shared" si="85"/>
        <v>10063</v>
      </c>
      <c r="M43" s="122"/>
      <c r="N43" s="101">
        <f>AVERAGE(L41,N41)</f>
        <v>10069</v>
      </c>
      <c r="O43" s="101">
        <f>AVERAGE(N41,O41)</f>
        <v>9924.5</v>
      </c>
      <c r="P43" s="101">
        <f t="shared" ref="P43:Q43" si="86">AVERAGE(O41,P41)</f>
        <v>9840</v>
      </c>
      <c r="Q43" s="101">
        <f t="shared" si="86"/>
        <v>9860.5</v>
      </c>
      <c r="R43" s="122"/>
      <c r="S43" s="101">
        <f>AVERAGE(Q41,S41)</f>
        <v>9880.5</v>
      </c>
      <c r="T43" s="101">
        <f>AVERAGE(S41,T41)</f>
        <v>9927</v>
      </c>
      <c r="U43" s="101">
        <f t="shared" ref="U43:V43" si="87">AVERAGE(T41,U41)</f>
        <v>10002</v>
      </c>
      <c r="V43" s="101">
        <f t="shared" si="87"/>
        <v>10098</v>
      </c>
      <c r="W43" s="122"/>
      <c r="X43" s="101">
        <f>AVERAGE(V41,X41)</f>
        <v>10176.25</v>
      </c>
      <c r="Y43" s="101">
        <f>AVERAGE(X41,Y41)</f>
        <v>10236.75</v>
      </c>
      <c r="Z43" s="101">
        <f t="shared" ref="Z43:AA43" si="88">AVERAGE(Y41,Z41)</f>
        <v>10297.25</v>
      </c>
      <c r="AA43" s="101">
        <f t="shared" si="88"/>
        <v>10357.75</v>
      </c>
      <c r="AB43" s="122"/>
      <c r="AC43" s="101">
        <f>AVERAGE(AA41,AC41)</f>
        <v>10424</v>
      </c>
      <c r="AD43" s="101">
        <f>AVERAGE(AC41,AD41)</f>
        <v>10496</v>
      </c>
      <c r="AE43" s="101">
        <f t="shared" ref="AE43" si="89">AVERAGE(AD41,AE41)</f>
        <v>10568.5</v>
      </c>
      <c r="AF43" s="101">
        <f t="shared" ref="AF43" si="90">AVERAGE(AE41,AF41)</f>
        <v>10641.5</v>
      </c>
      <c r="AG43" s="122"/>
      <c r="AH43" s="101">
        <f>AVERAGE(AF41,AH41)</f>
        <v>10721</v>
      </c>
      <c r="AI43" s="101">
        <f>AVERAGE(AH41,AI41)</f>
        <v>10807</v>
      </c>
      <c r="AJ43" s="101">
        <f t="shared" ref="AJ43" si="91">AVERAGE(AI41,AJ41)</f>
        <v>10893</v>
      </c>
      <c r="AK43" s="101">
        <f t="shared" ref="AK43" si="92">AVERAGE(AJ41,AK41)</f>
        <v>10979</v>
      </c>
      <c r="AL43" s="122"/>
      <c r="AM43" s="101">
        <f>AVERAGE(AK41,AM41)</f>
        <v>11070</v>
      </c>
      <c r="AN43" s="101">
        <f>AVERAGE(AM41,AN41)</f>
        <v>11166</v>
      </c>
      <c r="AO43" s="101">
        <f t="shared" ref="AO43" si="93">AVERAGE(AN41,AO41)</f>
        <v>11262</v>
      </c>
      <c r="AP43" s="101">
        <f t="shared" ref="AP43" si="94">AVERAGE(AO41,AP41)</f>
        <v>11358</v>
      </c>
      <c r="AQ43" s="122"/>
      <c r="AR43" s="101">
        <f>AVERAGE(AP41,AR41)</f>
        <v>11454</v>
      </c>
      <c r="AS43" s="101">
        <f>AVERAGE(AR41,AS41)</f>
        <v>11550</v>
      </c>
      <c r="AT43" s="101">
        <f t="shared" ref="AT43" si="95">AVERAGE(AS41,AT41)</f>
        <v>11646</v>
      </c>
      <c r="AU43" s="101">
        <f t="shared" ref="AU43" si="96">AVERAGE(AT41,AU41)</f>
        <v>11742</v>
      </c>
      <c r="AV43" s="122"/>
    </row>
    <row r="44" spans="2:48" s="8" customFormat="1" outlineLevel="1" x14ac:dyDescent="0.3">
      <c r="B44" s="180" t="s">
        <v>205</v>
      </c>
      <c r="C44" s="206"/>
      <c r="D44" s="43"/>
      <c r="E44" s="43">
        <f>+E45/E43</f>
        <v>0.39376054825346496</v>
      </c>
      <c r="F44" s="43">
        <f>+F45/F43</f>
        <v>0.42603779351092547</v>
      </c>
      <c r="G44" s="43">
        <f>+G45/G43</f>
        <v>0.4199687358176592</v>
      </c>
      <c r="H44" s="97"/>
      <c r="I44" s="43">
        <f>+I45/I43</f>
        <v>0.44723417025107531</v>
      </c>
      <c r="J44" s="43">
        <f>+J45/J43</f>
        <v>0.38499327387773402</v>
      </c>
      <c r="K44" s="43">
        <f>+K45/K43</f>
        <v>0.25601953358580826</v>
      </c>
      <c r="L44" s="43">
        <f>+L45/L43</f>
        <v>0.3851038457716387</v>
      </c>
      <c r="M44" s="97"/>
      <c r="N44" s="43">
        <f>+N45/N43</f>
        <v>0.42554374813784884</v>
      </c>
      <c r="O44" s="43">
        <f>+O45/O43</f>
        <v>0.43008715804322634</v>
      </c>
      <c r="P44" s="43">
        <f>+P45/P43</f>
        <v>0.50099593495934958</v>
      </c>
      <c r="Q44" s="43">
        <f>+Q45/Q43</f>
        <v>0.53286344505856698</v>
      </c>
      <c r="R44" s="97"/>
      <c r="S44" s="43">
        <f>+S45/S43</f>
        <v>0.52771620869389202</v>
      </c>
      <c r="T44" s="43">
        <f>+T45/T43</f>
        <v>0.49725999798529263</v>
      </c>
      <c r="U44" s="43">
        <f>+U45/U43</f>
        <v>0.55120975804839034</v>
      </c>
      <c r="V44" s="219">
        <f>Q44*1.01</f>
        <v>0.5381920795091526</v>
      </c>
      <c r="W44" s="132"/>
      <c r="X44" s="219">
        <f>S44*1.07</f>
        <v>0.5646563433024645</v>
      </c>
      <c r="Y44" s="219">
        <f>T44*1.07</f>
        <v>0.53206819784426318</v>
      </c>
      <c r="Z44" s="219">
        <f>U44*1.05</f>
        <v>0.57877024595080984</v>
      </c>
      <c r="AA44" s="219">
        <f>V44*1.05</f>
        <v>0.56510168348461021</v>
      </c>
      <c r="AB44" s="97"/>
      <c r="AC44" s="219">
        <f>X44*1.05</f>
        <v>0.59288916046758777</v>
      </c>
      <c r="AD44" s="219">
        <f>Y44*1.05</f>
        <v>0.55867160773647639</v>
      </c>
      <c r="AE44" s="219">
        <f>Z44*1.05</f>
        <v>0.60770875824835036</v>
      </c>
      <c r="AF44" s="219">
        <f>AA44*1.05</f>
        <v>0.59335676765884071</v>
      </c>
      <c r="AG44" s="97"/>
      <c r="AH44" s="219">
        <f>AC44*1.07</f>
        <v>0.63439140170031894</v>
      </c>
      <c r="AI44" s="219">
        <f>AD44*1.07</f>
        <v>0.59777862027802975</v>
      </c>
      <c r="AJ44" s="219">
        <f>AE44*1.07</f>
        <v>0.65024837132573488</v>
      </c>
      <c r="AK44" s="219">
        <f>AF44*1.07</f>
        <v>0.63489174139495963</v>
      </c>
      <c r="AL44" s="97"/>
      <c r="AM44" s="219">
        <f>AH44*1.05</f>
        <v>0.66611097178533496</v>
      </c>
      <c r="AN44" s="219">
        <f>AI44*1.05</f>
        <v>0.6276675512919313</v>
      </c>
      <c r="AO44" s="219">
        <f>AJ44*1.05</f>
        <v>0.6827607898920216</v>
      </c>
      <c r="AP44" s="219">
        <f>AK44*1.05</f>
        <v>0.66663632846470766</v>
      </c>
      <c r="AQ44" s="97"/>
      <c r="AR44" s="219">
        <f>AM44*1.03</f>
        <v>0.68609430093889501</v>
      </c>
      <c r="AS44" s="219">
        <f>AN44*1.03</f>
        <v>0.64649757783068929</v>
      </c>
      <c r="AT44" s="219">
        <f>AO44*1.03</f>
        <v>0.70324361358878229</v>
      </c>
      <c r="AU44" s="219">
        <f>AP44*1.03</f>
        <v>0.68663541831864894</v>
      </c>
      <c r="AV44" s="97"/>
    </row>
    <row r="45" spans="2:48" s="8" customFormat="1" outlineLevel="1" x14ac:dyDescent="0.3">
      <c r="B45" s="438" t="s">
        <v>176</v>
      </c>
      <c r="C45" s="439"/>
      <c r="D45" s="50">
        <v>4092.2</v>
      </c>
      <c r="E45" s="50">
        <v>3849.6</v>
      </c>
      <c r="F45" s="50">
        <v>4182.2</v>
      </c>
      <c r="G45" s="50">
        <v>4164.2</v>
      </c>
      <c r="H45" s="97">
        <f>SUM(D45:G45)</f>
        <v>16288.2</v>
      </c>
      <c r="I45" s="50">
        <v>4471</v>
      </c>
      <c r="J45" s="50">
        <v>3863.6</v>
      </c>
      <c r="K45" s="103">
        <v>2568.9</v>
      </c>
      <c r="L45" s="50">
        <v>3875.3</v>
      </c>
      <c r="M45" s="97"/>
      <c r="N45" s="50">
        <v>4284.8</v>
      </c>
      <c r="O45" s="50">
        <v>4268.3999999999996</v>
      </c>
      <c r="P45" s="50">
        <v>4929.8</v>
      </c>
      <c r="Q45" s="103">
        <v>5254.3</v>
      </c>
      <c r="R45" s="132">
        <f>SUM(N45:Q45)</f>
        <v>18737.3</v>
      </c>
      <c r="S45" s="50">
        <v>5214.1000000000004</v>
      </c>
      <c r="T45" s="50">
        <v>4936.3</v>
      </c>
      <c r="U45" s="50">
        <v>5513.2</v>
      </c>
      <c r="V45" s="50">
        <f>V44*V43</f>
        <v>5434.6636188834227</v>
      </c>
      <c r="W45" s="132">
        <f>SUM(S45:V45)</f>
        <v>21098.263618883426</v>
      </c>
      <c r="X45" s="50">
        <f>X44*X43</f>
        <v>5746.0841135317041</v>
      </c>
      <c r="Y45" s="50">
        <f>Y44*Y43</f>
        <v>5446.6491242822613</v>
      </c>
      <c r="Z45" s="50">
        <f>Z44*Z43</f>
        <v>5959.741915116977</v>
      </c>
      <c r="AA45" s="50">
        <f>AA44*AA43</f>
        <v>5853.1819621127215</v>
      </c>
      <c r="AB45" s="97">
        <f>SUM(X45:AA45)</f>
        <v>23005.657115043665</v>
      </c>
      <c r="AC45" s="50">
        <f>AC44*AC43</f>
        <v>6180.2766087141354</v>
      </c>
      <c r="AD45" s="50">
        <f>AD44*AD43</f>
        <v>5863.8171948020563</v>
      </c>
      <c r="AE45" s="50">
        <f>AE44*AE43</f>
        <v>6422.5700115476911</v>
      </c>
      <c r="AF45" s="50">
        <f>AF44*AF43</f>
        <v>6314.2060430415531</v>
      </c>
      <c r="AG45" s="97">
        <f>SUM(AC45:AF45)</f>
        <v>24780.869858105434</v>
      </c>
      <c r="AH45" s="50">
        <f>AH44*AH43</f>
        <v>6801.3102176291195</v>
      </c>
      <c r="AI45" s="50">
        <f>AI44*AI43</f>
        <v>6460.1935493446672</v>
      </c>
      <c r="AJ45" s="50">
        <f>AJ44*AJ43</f>
        <v>7083.1555088512296</v>
      </c>
      <c r="AK45" s="50">
        <f>AK44*AK43</f>
        <v>6970.4764287752614</v>
      </c>
      <c r="AL45" s="97">
        <f>SUM(AH45:AK45)</f>
        <v>27315.135704600278</v>
      </c>
      <c r="AM45" s="50">
        <f>AM44*AM43</f>
        <v>7373.8484576636583</v>
      </c>
      <c r="AN45" s="50">
        <f>AN44*AN43</f>
        <v>7008.5358777257052</v>
      </c>
      <c r="AO45" s="50">
        <f>AO44*AO43</f>
        <v>7689.2520157639474</v>
      </c>
      <c r="AP45" s="50">
        <f>AP44*AP43</f>
        <v>7571.6554187021493</v>
      </c>
      <c r="AQ45" s="97">
        <f>SUM(AM45:AP45)</f>
        <v>29643.291769855463</v>
      </c>
      <c r="AR45" s="50">
        <f>AR44*AR43</f>
        <v>7858.5241229541034</v>
      </c>
      <c r="AS45" s="50">
        <f>AS44*AS43</f>
        <v>7467.0470239444612</v>
      </c>
      <c r="AT45" s="50">
        <f>AT44*AT43</f>
        <v>8189.9751238549588</v>
      </c>
      <c r="AU45" s="50">
        <f>AU44*AU43</f>
        <v>8062.4730818975759</v>
      </c>
      <c r="AV45" s="97">
        <f>SUM(AR45:AU45)</f>
        <v>31578.019352651099</v>
      </c>
    </row>
    <row r="46" spans="2:48" s="8" customFormat="1" outlineLevel="1" x14ac:dyDescent="0.3">
      <c r="B46" s="38" t="s">
        <v>200</v>
      </c>
      <c r="C46" s="206"/>
      <c r="D46" s="43"/>
      <c r="E46" s="43"/>
      <c r="F46" s="43"/>
      <c r="G46" s="43"/>
      <c r="H46" s="97"/>
      <c r="I46" s="27">
        <f>I45/D45-1</f>
        <v>9.2566345730902722E-2</v>
      </c>
      <c r="J46" s="27">
        <f>J45/E45-1</f>
        <v>3.6367414796343311E-3</v>
      </c>
      <c r="K46" s="27">
        <f>K45/F45-1</f>
        <v>-0.38575390942566112</v>
      </c>
      <c r="L46" s="27">
        <f>L45/G45-1</f>
        <v>-6.9377071226165765E-2</v>
      </c>
      <c r="M46" s="97"/>
      <c r="N46" s="27">
        <f>N45/I45-1</f>
        <v>-4.1646164169089617E-2</v>
      </c>
      <c r="O46" s="27">
        <f>O45/J45-1</f>
        <v>0.10477275080236037</v>
      </c>
      <c r="P46" s="27">
        <f>P45/K45-1</f>
        <v>0.91903149207832135</v>
      </c>
      <c r="Q46" s="27">
        <f>Q45/L45-1</f>
        <v>0.35584341857404578</v>
      </c>
      <c r="R46" s="97"/>
      <c r="S46" s="27">
        <f>S45/N45-1</f>
        <v>0.21688293502613898</v>
      </c>
      <c r="T46" s="27">
        <f>T45/O45-1</f>
        <v>0.15647549433042851</v>
      </c>
      <c r="U46" s="27">
        <f>U45/P45-1</f>
        <v>0.11834151486875721</v>
      </c>
      <c r="V46" s="27">
        <f>V45/Q45-1</f>
        <v>3.4326859692713096E-2</v>
      </c>
      <c r="W46" s="98">
        <f>W45/R45-1</f>
        <v>0.12600340598076709</v>
      </c>
      <c r="X46" s="27">
        <f t="shared" ref="X46:AV46" si="97">X45/S45-1</f>
        <v>0.10202798441374417</v>
      </c>
      <c r="Y46" s="27">
        <f t="shared" si="97"/>
        <v>0.10338697491689341</v>
      </c>
      <c r="Z46" s="27">
        <f t="shared" si="97"/>
        <v>8.0995050989802087E-2</v>
      </c>
      <c r="AA46" s="27">
        <f t="shared" si="97"/>
        <v>7.700906120023765E-2</v>
      </c>
      <c r="AB46" s="98">
        <f t="shared" si="97"/>
        <v>9.0405235739545731E-2</v>
      </c>
      <c r="AC46" s="27">
        <f t="shared" si="97"/>
        <v>7.5563198624247763E-2</v>
      </c>
      <c r="AD46" s="27">
        <f t="shared" si="97"/>
        <v>7.6591691699025688E-2</v>
      </c>
      <c r="AE46" s="27">
        <f t="shared" si="97"/>
        <v>7.7659083735948986E-2</v>
      </c>
      <c r="AF46" s="27">
        <f t="shared" si="97"/>
        <v>7.8764693104197203E-2</v>
      </c>
      <c r="AG46" s="98">
        <f t="shared" si="97"/>
        <v>7.716418332171604E-2</v>
      </c>
      <c r="AH46" s="27">
        <f t="shared" si="97"/>
        <v>0.10048637759017653</v>
      </c>
      <c r="AI46" s="27">
        <f t="shared" si="97"/>
        <v>0.10170445884146329</v>
      </c>
      <c r="AJ46" s="27">
        <f t="shared" si="97"/>
        <v>0.10285376354260278</v>
      </c>
      <c r="AK46" s="27">
        <f t="shared" si="97"/>
        <v>0.10393553540384359</v>
      </c>
      <c r="AL46" s="98">
        <f t="shared" si="97"/>
        <v>0.10226702537102117</v>
      </c>
      <c r="AM46" s="27">
        <f t="shared" si="97"/>
        <v>8.4180580169760377E-2</v>
      </c>
      <c r="AN46" s="27">
        <f t="shared" si="97"/>
        <v>8.4880170260016818E-2</v>
      </c>
      <c r="AO46" s="27">
        <f t="shared" si="97"/>
        <v>8.5568713852933076E-2</v>
      </c>
      <c r="AP46" s="27">
        <f t="shared" si="97"/>
        <v>8.624647053465706E-2</v>
      </c>
      <c r="AQ46" s="98">
        <f t="shared" si="97"/>
        <v>8.5233186846774167E-2</v>
      </c>
      <c r="AR46" s="27">
        <f t="shared" si="97"/>
        <v>6.5728997289972835E-2</v>
      </c>
      <c r="AS46" s="27">
        <f t="shared" si="97"/>
        <v>6.5421816227834606E-2</v>
      </c>
      <c r="AT46" s="27">
        <f t="shared" si="97"/>
        <v>6.5119872136387924E-2</v>
      </c>
      <c r="AU46" s="27">
        <f t="shared" si="97"/>
        <v>6.4823032223983112E-2</v>
      </c>
      <c r="AV46" s="98">
        <f t="shared" si="97"/>
        <v>6.5266961504021559E-2</v>
      </c>
    </row>
    <row r="47" spans="2:48" outlineLevel="1" x14ac:dyDescent="0.3">
      <c r="B47" s="220" t="s">
        <v>44</v>
      </c>
      <c r="C47" s="221"/>
      <c r="D47" s="222">
        <v>0.04</v>
      </c>
      <c r="E47" s="222">
        <v>0</v>
      </c>
      <c r="F47" s="222">
        <v>0.03</v>
      </c>
      <c r="G47" s="222">
        <v>0.03</v>
      </c>
      <c r="H47" s="223"/>
      <c r="I47" s="222">
        <v>0.02</v>
      </c>
      <c r="J47" s="222">
        <v>-7.0000000000000007E-2</v>
      </c>
      <c r="K47" s="222">
        <v>-0.53</v>
      </c>
      <c r="L47" s="224">
        <v>-0.25</v>
      </c>
      <c r="M47" s="223"/>
      <c r="N47" s="222">
        <v>-0.21</v>
      </c>
      <c r="O47" s="222">
        <v>-0.1</v>
      </c>
      <c r="P47" s="222">
        <v>0.82</v>
      </c>
      <c r="Q47" s="222">
        <v>0.18</v>
      </c>
      <c r="R47" s="225"/>
      <c r="S47" s="224">
        <v>0.12</v>
      </c>
      <c r="T47" s="224">
        <v>0.05</v>
      </c>
      <c r="U47" s="224">
        <v>0.01</v>
      </c>
      <c r="V47" s="224"/>
      <c r="W47" s="223"/>
      <c r="X47" s="224"/>
      <c r="Y47" s="224"/>
      <c r="Z47" s="224"/>
      <c r="AA47" s="224"/>
      <c r="AB47" s="376">
        <f>AB59/W59-1</f>
        <v>9.1365004210739231E-2</v>
      </c>
      <c r="AC47" s="224"/>
      <c r="AD47" s="224"/>
      <c r="AE47" s="224"/>
      <c r="AF47" s="224"/>
      <c r="AG47" s="225"/>
      <c r="AH47" s="224"/>
      <c r="AI47" s="224"/>
      <c r="AJ47" s="224"/>
      <c r="AK47" s="224"/>
      <c r="AL47" s="225"/>
      <c r="AM47" s="224"/>
      <c r="AN47" s="224"/>
      <c r="AO47" s="224"/>
      <c r="AP47" s="224"/>
      <c r="AQ47" s="225"/>
      <c r="AR47" s="224"/>
      <c r="AS47" s="224"/>
      <c r="AT47" s="224"/>
      <c r="AU47" s="224"/>
      <c r="AV47" s="225"/>
    </row>
    <row r="48" spans="2:48" outlineLevel="1" x14ac:dyDescent="0.3">
      <c r="B48" s="38" t="s">
        <v>43</v>
      </c>
      <c r="C48" s="207"/>
      <c r="D48" s="226">
        <v>0</v>
      </c>
      <c r="E48" s="226">
        <v>0.04</v>
      </c>
      <c r="F48" s="226">
        <v>0.04</v>
      </c>
      <c r="G48" s="226">
        <v>0.03</v>
      </c>
      <c r="H48" s="217"/>
      <c r="I48" s="226">
        <v>0.03</v>
      </c>
      <c r="J48" s="226">
        <v>0.05</v>
      </c>
      <c r="K48" s="226">
        <v>0.27</v>
      </c>
      <c r="L48" s="227">
        <v>0.21</v>
      </c>
      <c r="M48" s="217"/>
      <c r="N48" s="226">
        <v>0.2</v>
      </c>
      <c r="O48" s="226">
        <v>0.22</v>
      </c>
      <c r="P48" s="226">
        <v>0.01</v>
      </c>
      <c r="Q48" s="226">
        <v>0.03</v>
      </c>
      <c r="R48" s="218"/>
      <c r="S48" s="227">
        <v>0.06</v>
      </c>
      <c r="T48" s="227">
        <v>7.0000000000000007E-2</v>
      </c>
      <c r="U48" s="228">
        <v>0.08</v>
      </c>
      <c r="V48" s="228"/>
      <c r="W48" s="148"/>
      <c r="X48" s="228"/>
      <c r="Y48" s="228"/>
      <c r="Z48" s="228"/>
      <c r="AA48" s="228"/>
      <c r="AB48" s="362"/>
      <c r="AC48" s="228"/>
      <c r="AD48" s="228"/>
      <c r="AE48" s="228"/>
      <c r="AF48" s="228"/>
      <c r="AG48" s="60"/>
      <c r="AH48" s="228"/>
      <c r="AI48" s="228"/>
      <c r="AJ48" s="228"/>
      <c r="AK48" s="228"/>
      <c r="AL48" s="60"/>
      <c r="AM48" s="228"/>
      <c r="AN48" s="228"/>
      <c r="AO48" s="228"/>
      <c r="AP48" s="228"/>
      <c r="AQ48" s="60"/>
      <c r="AR48" s="228"/>
      <c r="AS48" s="228"/>
      <c r="AT48" s="228"/>
      <c r="AU48" s="228"/>
      <c r="AV48" s="60"/>
    </row>
    <row r="49" spans="2:48" s="8" customFormat="1" outlineLevel="1" x14ac:dyDescent="0.3">
      <c r="B49" s="229" t="s">
        <v>45</v>
      </c>
      <c r="C49" s="230"/>
      <c r="D49" s="231">
        <v>0.04</v>
      </c>
      <c r="E49" s="231">
        <v>4.2999999999999997E-2</v>
      </c>
      <c r="F49" s="231">
        <v>7.0000000000000007E-2</v>
      </c>
      <c r="G49" s="231">
        <v>0.06</v>
      </c>
      <c r="H49" s="232"/>
      <c r="I49" s="231">
        <v>0.06</v>
      </c>
      <c r="J49" s="231">
        <v>-0.03</v>
      </c>
      <c r="K49" s="231">
        <v>-0.41</v>
      </c>
      <c r="L49" s="233">
        <v>-0.09</v>
      </c>
      <c r="M49" s="234"/>
      <c r="N49" s="233">
        <v>-0.06</v>
      </c>
      <c r="O49" s="233">
        <v>0.09</v>
      </c>
      <c r="P49" s="231">
        <v>0.84</v>
      </c>
      <c r="Q49" s="231">
        <v>0.22</v>
      </c>
      <c r="R49" s="235"/>
      <c r="S49" s="233">
        <v>0.18</v>
      </c>
      <c r="T49" s="233">
        <v>0.12</v>
      </c>
      <c r="U49" s="231">
        <v>0.09</v>
      </c>
      <c r="V49" s="231"/>
      <c r="W49" s="232"/>
      <c r="X49" s="233"/>
      <c r="Y49" s="233"/>
      <c r="Z49" s="233"/>
      <c r="AA49" s="233"/>
      <c r="AB49" s="361"/>
      <c r="AC49" s="233"/>
      <c r="AD49" s="233"/>
      <c r="AE49" s="233"/>
      <c r="AF49" s="233"/>
      <c r="AG49" s="232"/>
      <c r="AH49" s="233"/>
      <c r="AI49" s="233"/>
      <c r="AJ49" s="233"/>
      <c r="AK49" s="233"/>
      <c r="AL49" s="232"/>
      <c r="AM49" s="233"/>
      <c r="AN49" s="233"/>
      <c r="AO49" s="233"/>
      <c r="AP49" s="233"/>
      <c r="AQ49" s="232"/>
      <c r="AR49" s="233"/>
      <c r="AS49" s="233"/>
      <c r="AT49" s="233"/>
      <c r="AU49" s="233"/>
      <c r="AV49" s="232"/>
    </row>
    <row r="50" spans="2:48" s="8" customFormat="1" outlineLevel="1" x14ac:dyDescent="0.3">
      <c r="B50" s="454" t="s">
        <v>177</v>
      </c>
      <c r="C50" s="455"/>
      <c r="D50" s="67">
        <v>7876</v>
      </c>
      <c r="E50" s="67">
        <v>7943</v>
      </c>
      <c r="F50" s="117">
        <v>7996</v>
      </c>
      <c r="G50" s="67">
        <v>8093</v>
      </c>
      <c r="H50" s="68"/>
      <c r="I50" s="67">
        <v>8183</v>
      </c>
      <c r="J50" s="67">
        <v>8220</v>
      </c>
      <c r="K50" s="67">
        <v>8218</v>
      </c>
      <c r="L50" s="67">
        <v>6831</v>
      </c>
      <c r="M50" s="68"/>
      <c r="N50" s="67">
        <v>8279</v>
      </c>
      <c r="O50" s="67">
        <f>+N50+O51</f>
        <v>8300</v>
      </c>
      <c r="P50" s="67">
        <f t="shared" ref="P50" si="98">+O50+P51</f>
        <v>8315</v>
      </c>
      <c r="Q50" s="67">
        <v>6965</v>
      </c>
      <c r="R50" s="192"/>
      <c r="S50" s="67">
        <f>+Q50+S51</f>
        <v>6988</v>
      </c>
      <c r="T50" s="67">
        <f>+S50+T51</f>
        <v>6972</v>
      </c>
      <c r="U50" s="67">
        <f t="shared" ref="U50:V50" si="99">+T50+U51</f>
        <v>7000</v>
      </c>
      <c r="V50" s="67">
        <f t="shared" si="99"/>
        <v>7028</v>
      </c>
      <c r="W50" s="253">
        <f>V50</f>
        <v>7028</v>
      </c>
      <c r="X50" s="67">
        <f>+V50+X51</f>
        <v>7096</v>
      </c>
      <c r="Y50" s="67">
        <f>+X50+Y51</f>
        <v>7164</v>
      </c>
      <c r="Z50" s="67">
        <f t="shared" ref="Z50:AA50" si="100">+Y50+Z51</f>
        <v>7232</v>
      </c>
      <c r="AA50" s="67">
        <f t="shared" si="100"/>
        <v>7301</v>
      </c>
      <c r="AB50" s="192">
        <f>AA50</f>
        <v>7301</v>
      </c>
      <c r="AC50" s="67">
        <f>+AA50+AC51</f>
        <v>7383</v>
      </c>
      <c r="AD50" s="67">
        <f>+AC50+AD51</f>
        <v>7465</v>
      </c>
      <c r="AE50" s="67">
        <f t="shared" ref="AE50" si="101">+AD50+AE51</f>
        <v>7547</v>
      </c>
      <c r="AF50" s="67">
        <f t="shared" ref="AF50" si="102">+AE50+AF51</f>
        <v>7630</v>
      </c>
      <c r="AG50" s="192">
        <f>AF50</f>
        <v>7630</v>
      </c>
      <c r="AH50" s="67">
        <f>+AF50+AH51</f>
        <v>7727</v>
      </c>
      <c r="AI50" s="67">
        <f>+AH50+AI51</f>
        <v>7824</v>
      </c>
      <c r="AJ50" s="67">
        <f t="shared" ref="AJ50" si="103">+AI50+AJ51</f>
        <v>7921</v>
      </c>
      <c r="AK50" s="67">
        <f t="shared" ref="AK50" si="104">+AJ50+AK51</f>
        <v>8018</v>
      </c>
      <c r="AL50" s="192">
        <f>AK50</f>
        <v>8018</v>
      </c>
      <c r="AM50" s="67">
        <f>+AK50+AM51</f>
        <v>8046</v>
      </c>
      <c r="AN50" s="67">
        <f>+AM50+AN51</f>
        <v>8074</v>
      </c>
      <c r="AO50" s="67">
        <f t="shared" ref="AO50" si="105">+AN50+AO51</f>
        <v>8102</v>
      </c>
      <c r="AP50" s="67">
        <f t="shared" ref="AP50" si="106">+AO50+AP51</f>
        <v>8130</v>
      </c>
      <c r="AQ50" s="192">
        <f>AP50</f>
        <v>8130</v>
      </c>
      <c r="AR50" s="67">
        <f>+AP50+AR51</f>
        <v>8158</v>
      </c>
      <c r="AS50" s="67">
        <f>+AR50+AS51</f>
        <v>8186</v>
      </c>
      <c r="AT50" s="67">
        <f t="shared" ref="AT50" si="107">+AS50+AT51</f>
        <v>8214</v>
      </c>
      <c r="AU50" s="67">
        <f t="shared" ref="AU50" si="108">+AT50+AU51</f>
        <v>8242</v>
      </c>
      <c r="AV50" s="192">
        <f>AU50</f>
        <v>8242</v>
      </c>
    </row>
    <row r="51" spans="2:48" outlineLevel="1" x14ac:dyDescent="0.3">
      <c r="B51" s="180" t="s">
        <v>47</v>
      </c>
      <c r="C51" s="201"/>
      <c r="D51" s="101">
        <f>+D50-7770</f>
        <v>106</v>
      </c>
      <c r="E51" s="101">
        <f>E50-D50</f>
        <v>67</v>
      </c>
      <c r="F51" s="101">
        <f t="shared" ref="F51:G51" si="109">F50-E50</f>
        <v>53</v>
      </c>
      <c r="G51" s="101">
        <f t="shared" si="109"/>
        <v>97</v>
      </c>
      <c r="H51" s="122">
        <f>+SUM(D51:G51)</f>
        <v>323</v>
      </c>
      <c r="I51" s="101">
        <f>I50-G50</f>
        <v>90</v>
      </c>
      <c r="J51" s="101">
        <f t="shared" ref="J51:K51" si="110">J50-I50</f>
        <v>37</v>
      </c>
      <c r="K51" s="101">
        <f t="shared" si="110"/>
        <v>-2</v>
      </c>
      <c r="L51" s="101">
        <v>32</v>
      </c>
      <c r="M51" s="122"/>
      <c r="N51" s="101">
        <v>34</v>
      </c>
      <c r="O51" s="101">
        <v>21</v>
      </c>
      <c r="P51" s="101">
        <v>15</v>
      </c>
      <c r="Q51" s="101">
        <v>73</v>
      </c>
      <c r="R51" s="26"/>
      <c r="S51" s="101">
        <v>23</v>
      </c>
      <c r="T51" s="101">
        <v>-16</v>
      </c>
      <c r="U51" s="101">
        <v>28</v>
      </c>
      <c r="V51" s="33">
        <v>28</v>
      </c>
      <c r="W51" s="122">
        <f>+SUM(S51:V51)</f>
        <v>63</v>
      </c>
      <c r="X51" s="33">
        <v>68</v>
      </c>
      <c r="Y51" s="33">
        <v>68</v>
      </c>
      <c r="Z51" s="33">
        <v>68</v>
      </c>
      <c r="AA51" s="33">
        <v>69</v>
      </c>
      <c r="AB51" s="26">
        <f>+SUM(X51:AA51)</f>
        <v>273</v>
      </c>
      <c r="AC51" s="33">
        <v>82</v>
      </c>
      <c r="AD51" s="33">
        <v>82</v>
      </c>
      <c r="AE51" s="33">
        <v>82</v>
      </c>
      <c r="AF51" s="33">
        <v>83</v>
      </c>
      <c r="AG51" s="26">
        <f>+SUM(AC51:AF51)</f>
        <v>329</v>
      </c>
      <c r="AH51" s="33">
        <v>97</v>
      </c>
      <c r="AI51" s="33">
        <v>97</v>
      </c>
      <c r="AJ51" s="33">
        <v>97</v>
      </c>
      <c r="AK51" s="33">
        <v>97</v>
      </c>
      <c r="AL51" s="26">
        <f>+SUM(AH51:AK51)</f>
        <v>388</v>
      </c>
      <c r="AM51" s="33">
        <v>28</v>
      </c>
      <c r="AN51" s="33">
        <v>28</v>
      </c>
      <c r="AO51" s="33">
        <v>28</v>
      </c>
      <c r="AP51" s="33">
        <v>28</v>
      </c>
      <c r="AQ51" s="26">
        <f>+SUM(AM51:AP51)</f>
        <v>112</v>
      </c>
      <c r="AR51" s="33">
        <v>28</v>
      </c>
      <c r="AS51" s="33">
        <v>28</v>
      </c>
      <c r="AT51" s="33">
        <v>28</v>
      </c>
      <c r="AU51" s="33">
        <v>28</v>
      </c>
      <c r="AV51" s="26">
        <f>+SUM(AR51:AU51)</f>
        <v>112</v>
      </c>
    </row>
    <row r="52" spans="2:48" outlineLevel="1" x14ac:dyDescent="0.3">
      <c r="B52" s="180" t="s">
        <v>49</v>
      </c>
      <c r="C52" s="201"/>
      <c r="D52" s="16">
        <f>AVERAGE(D50,7770)</f>
        <v>7823</v>
      </c>
      <c r="E52" s="16">
        <f>AVERAGE(E50,D50)</f>
        <v>7909.5</v>
      </c>
      <c r="F52" s="16">
        <f t="shared" ref="F52:G52" si="111">AVERAGE(F50,E50)</f>
        <v>7969.5</v>
      </c>
      <c r="G52" s="16">
        <f t="shared" si="111"/>
        <v>8044.5</v>
      </c>
      <c r="H52" s="26"/>
      <c r="I52" s="16">
        <f>AVERAGE(I50,G50)</f>
        <v>8138</v>
      </c>
      <c r="J52" s="16">
        <f>AVERAGE(J50,I50)</f>
        <v>8201.5</v>
      </c>
      <c r="K52" s="16">
        <f t="shared" ref="K52:L52" si="112">AVERAGE(K50,J50)</f>
        <v>8219</v>
      </c>
      <c r="L52" s="16">
        <f t="shared" si="112"/>
        <v>7524.5</v>
      </c>
      <c r="M52" s="6"/>
      <c r="N52" s="16">
        <f>AVERAGE(N50,L50)</f>
        <v>7555</v>
      </c>
      <c r="O52" s="16">
        <f>AVERAGE(O50,N50)</f>
        <v>8289.5</v>
      </c>
      <c r="P52" s="16">
        <f t="shared" ref="P52:Q52" si="113">AVERAGE(P50,O50)</f>
        <v>8307.5</v>
      </c>
      <c r="Q52" s="16">
        <f t="shared" si="113"/>
        <v>7640</v>
      </c>
      <c r="R52" s="6"/>
      <c r="S52" s="16">
        <f>AVERAGE(S50,Q50)</f>
        <v>6976.5</v>
      </c>
      <c r="T52" s="16">
        <f>AVERAGE(T50,S50)</f>
        <v>6980</v>
      </c>
      <c r="U52" s="16">
        <f t="shared" ref="U52:V52" si="114">AVERAGE(U50,T50)</f>
        <v>6986</v>
      </c>
      <c r="V52" s="16">
        <f t="shared" si="114"/>
        <v>7014</v>
      </c>
      <c r="W52" s="130"/>
      <c r="X52" s="16">
        <f>AVERAGE(X50,V50)</f>
        <v>7062</v>
      </c>
      <c r="Y52" s="16">
        <f>AVERAGE(Y50,X50)</f>
        <v>7130</v>
      </c>
      <c r="Z52" s="16">
        <f t="shared" ref="Z52:AA52" si="115">AVERAGE(Z50,Y50)</f>
        <v>7198</v>
      </c>
      <c r="AA52" s="16">
        <f t="shared" si="115"/>
        <v>7266.5</v>
      </c>
      <c r="AB52" s="6"/>
      <c r="AC52" s="16">
        <f>AVERAGE(AC50,AA50)</f>
        <v>7342</v>
      </c>
      <c r="AD52" s="16">
        <f>AVERAGE(AD50,AC50)</f>
        <v>7424</v>
      </c>
      <c r="AE52" s="16">
        <f t="shared" ref="AE52" si="116">AVERAGE(AE50,AD50)</f>
        <v>7506</v>
      </c>
      <c r="AF52" s="16">
        <f t="shared" ref="AF52" si="117">AVERAGE(AF50,AE50)</f>
        <v>7588.5</v>
      </c>
      <c r="AG52" s="6"/>
      <c r="AH52" s="16">
        <f>AVERAGE(AH50,AF50)</f>
        <v>7678.5</v>
      </c>
      <c r="AI52" s="16">
        <f>AVERAGE(AI50,AH50)</f>
        <v>7775.5</v>
      </c>
      <c r="AJ52" s="16">
        <f t="shared" ref="AJ52" si="118">AVERAGE(AJ50,AI50)</f>
        <v>7872.5</v>
      </c>
      <c r="AK52" s="16">
        <f t="shared" ref="AK52" si="119">AVERAGE(AK50,AJ50)</f>
        <v>7969.5</v>
      </c>
      <c r="AL52" s="6"/>
      <c r="AM52" s="16">
        <f>AVERAGE(AM50,AK50)</f>
        <v>8032</v>
      </c>
      <c r="AN52" s="16">
        <f>AVERAGE(AN50,AM50)</f>
        <v>8060</v>
      </c>
      <c r="AO52" s="16">
        <f t="shared" ref="AO52" si="120">AVERAGE(AO50,AN50)</f>
        <v>8088</v>
      </c>
      <c r="AP52" s="16">
        <f t="shared" ref="AP52" si="121">AVERAGE(AP50,AO50)</f>
        <v>8116</v>
      </c>
      <c r="AQ52" s="6"/>
      <c r="AR52" s="16">
        <f>AVERAGE(AR50,AP50)</f>
        <v>8144</v>
      </c>
      <c r="AS52" s="16">
        <f>AVERAGE(AS50,AR50)</f>
        <v>8172</v>
      </c>
      <c r="AT52" s="16">
        <f t="shared" ref="AT52" si="122">AVERAGE(AT50,AS50)</f>
        <v>8200</v>
      </c>
      <c r="AU52" s="16">
        <f t="shared" ref="AU52" si="123">AVERAGE(AU50,AT50)</f>
        <v>8228</v>
      </c>
      <c r="AV52" s="6"/>
    </row>
    <row r="53" spans="2:48" outlineLevel="1" x14ac:dyDescent="0.3">
      <c r="B53" s="180" t="s">
        <v>202</v>
      </c>
      <c r="C53" s="201"/>
      <c r="D53" s="43">
        <f>+D54/D52</f>
        <v>6.5780391154288645E-2</v>
      </c>
      <c r="E53" s="43">
        <f>+E54/E52</f>
        <v>5.8549845122953414E-2</v>
      </c>
      <c r="F53" s="43">
        <f>+F54/F52</f>
        <v>6.2274923144488362E-2</v>
      </c>
      <c r="G53" s="114">
        <f t="shared" ref="G53:S53" si="124">+G54/G52</f>
        <v>6.016533034992852E-2</v>
      </c>
      <c r="H53" s="127"/>
      <c r="I53" s="114">
        <f t="shared" si="124"/>
        <v>6.6023593020398133E-2</v>
      </c>
      <c r="J53" s="114">
        <f t="shared" si="124"/>
        <v>5.6599402548314331E-2</v>
      </c>
      <c r="K53" s="114">
        <f t="shared" si="124"/>
        <v>2.8653120817617714E-2</v>
      </c>
      <c r="L53" s="114">
        <f t="shared" si="124"/>
        <v>4.4773739118878331E-2</v>
      </c>
      <c r="M53" s="6"/>
      <c r="N53" s="114">
        <f t="shared" si="124"/>
        <v>5.5089344804765052E-2</v>
      </c>
      <c r="O53" s="114">
        <f t="shared" si="124"/>
        <v>4.7554134748778572E-2</v>
      </c>
      <c r="P53" s="114">
        <f t="shared" si="124"/>
        <v>5.6394823954258204E-2</v>
      </c>
      <c r="Q53" s="114">
        <f t="shared" si="124"/>
        <v>6.6295811518324602E-2</v>
      </c>
      <c r="R53" s="6"/>
      <c r="S53" s="114">
        <f t="shared" si="124"/>
        <v>7.3948254855586606E-2</v>
      </c>
      <c r="T53" s="114">
        <f>+T54/T52</f>
        <v>7.2636103151862461E-2</v>
      </c>
      <c r="U53" s="114">
        <f>+U54/U52</f>
        <v>7.7898654451760668E-2</v>
      </c>
      <c r="V53" s="62">
        <f>Q53*1.1</f>
        <v>7.2925392670157074E-2</v>
      </c>
      <c r="W53" s="130"/>
      <c r="X53" s="62">
        <f>S53*1.1</f>
        <v>8.1343080341145277E-2</v>
      </c>
      <c r="Y53" s="62">
        <f>T53*1.1</f>
        <v>7.9899713467048716E-2</v>
      </c>
      <c r="Z53" s="62">
        <f>U53*1.05</f>
        <v>8.1793587174348703E-2</v>
      </c>
      <c r="AA53" s="62">
        <f>V53*1.05</f>
        <v>7.6571662303664925E-2</v>
      </c>
      <c r="AB53" s="378"/>
      <c r="AC53" s="62">
        <f>X53*1.05</f>
        <v>8.5410234358202539E-2</v>
      </c>
      <c r="AD53" s="62">
        <f>Y53*1.05</f>
        <v>8.3894699140401152E-2</v>
      </c>
      <c r="AE53" s="62">
        <f>Z53*1.05</f>
        <v>8.5883266533066147E-2</v>
      </c>
      <c r="AF53" s="62">
        <f>AA53*1.05</f>
        <v>8.0400245418848174E-2</v>
      </c>
      <c r="AG53" s="378"/>
      <c r="AH53" s="62">
        <f>AC53*1.07</f>
        <v>9.1388950763276716E-2</v>
      </c>
      <c r="AI53" s="62">
        <f>AD53*1.07</f>
        <v>8.9767328080229233E-2</v>
      </c>
      <c r="AJ53" s="62">
        <f>AE53*1.07</f>
        <v>9.1895095190380777E-2</v>
      </c>
      <c r="AK53" s="62">
        <f>AF53*1.07</f>
        <v>8.6028262598167551E-2</v>
      </c>
      <c r="AL53" s="379"/>
      <c r="AM53" s="219">
        <f>AH53*1.05</f>
        <v>9.5958398301440553E-2</v>
      </c>
      <c r="AN53" s="219">
        <f>AI53*1.05</f>
        <v>9.4255694484240704E-2</v>
      </c>
      <c r="AO53" s="219">
        <f>AJ53*1.05</f>
        <v>9.6489849949899814E-2</v>
      </c>
      <c r="AP53" s="219">
        <f>AK53*1.05</f>
        <v>9.0329675728075931E-2</v>
      </c>
      <c r="AQ53" s="97"/>
      <c r="AR53" s="219">
        <f>AM53*1.03</f>
        <v>9.8837150250483771E-2</v>
      </c>
      <c r="AS53" s="219">
        <f>AN53*1.03</f>
        <v>9.7083365318767934E-2</v>
      </c>
      <c r="AT53" s="219">
        <f>AO53*1.03</f>
        <v>9.938454544839681E-2</v>
      </c>
      <c r="AU53" s="219">
        <f>AP53*1.03</f>
        <v>9.3039565999918208E-2</v>
      </c>
      <c r="AV53" s="6"/>
    </row>
    <row r="54" spans="2:48" s="8" customFormat="1" outlineLevel="1" x14ac:dyDescent="0.3">
      <c r="B54" s="456" t="s">
        <v>178</v>
      </c>
      <c r="C54" s="457"/>
      <c r="D54" s="115">
        <v>514.6</v>
      </c>
      <c r="E54" s="115">
        <v>463.1</v>
      </c>
      <c r="F54" s="115">
        <v>496.3</v>
      </c>
      <c r="G54" s="115">
        <v>484</v>
      </c>
      <c r="H54" s="153"/>
      <c r="I54" s="115">
        <v>537.29999999999995</v>
      </c>
      <c r="J54" s="115">
        <v>464.2</v>
      </c>
      <c r="K54" s="115">
        <v>235.5</v>
      </c>
      <c r="L54" s="72">
        <v>336.9</v>
      </c>
      <c r="M54" s="73"/>
      <c r="N54" s="72">
        <v>416.2</v>
      </c>
      <c r="O54" s="72">
        <v>394.2</v>
      </c>
      <c r="P54" s="72">
        <v>468.5</v>
      </c>
      <c r="Q54" s="115">
        <v>506.5</v>
      </c>
      <c r="R54" s="73"/>
      <c r="S54" s="72">
        <v>515.9</v>
      </c>
      <c r="T54" s="72">
        <v>507</v>
      </c>
      <c r="U54" s="72">
        <v>544.20000000000005</v>
      </c>
      <c r="V54" s="72">
        <f t="shared" ref="V54" si="125">+V52*V53</f>
        <v>511.49870418848172</v>
      </c>
      <c r="W54" s="213">
        <f>SUM(S54:V54)</f>
        <v>2078.5987041884819</v>
      </c>
      <c r="X54" s="72">
        <f>+X52*X53</f>
        <v>574.4448333691679</v>
      </c>
      <c r="Y54" s="72">
        <f>+Y52*Y53</f>
        <v>569.68495702005737</v>
      </c>
      <c r="Z54" s="72">
        <f t="shared" ref="Z54:AA54" si="126">+Z52*Z53</f>
        <v>588.75024048096202</v>
      </c>
      <c r="AA54" s="72">
        <f t="shared" si="126"/>
        <v>556.40798412958122</v>
      </c>
      <c r="AB54" s="73">
        <f>SUM(X54:AA54)</f>
        <v>2289.2880149997686</v>
      </c>
      <c r="AC54" s="72">
        <f>+AC52*AC53</f>
        <v>627.08194065792304</v>
      </c>
      <c r="AD54" s="72">
        <f>+AD52*AD53</f>
        <v>622.83424641833813</v>
      </c>
      <c r="AE54" s="72">
        <f t="shared" ref="AE54:AF54" si="127">+AE52*AE53</f>
        <v>644.6397985971945</v>
      </c>
      <c r="AF54" s="72">
        <f t="shared" si="127"/>
        <v>610.11726236092932</v>
      </c>
      <c r="AG54" s="73">
        <f>SUM(AC54:AF54)</f>
        <v>2504.6732480343853</v>
      </c>
      <c r="AH54" s="72">
        <f>+AH52*AH53</f>
        <v>701.7300584358203</v>
      </c>
      <c r="AI54" s="72">
        <f>+AI52*AI53</f>
        <v>697.98585948782238</v>
      </c>
      <c r="AJ54" s="72">
        <f t="shared" ref="AJ54:AK54" si="128">+AJ52*AJ53</f>
        <v>723.44413688627264</v>
      </c>
      <c r="AK54" s="72">
        <f t="shared" si="128"/>
        <v>685.60223877609633</v>
      </c>
      <c r="AL54" s="73">
        <f>SUM(AH54:AK54)</f>
        <v>2808.7622935860118</v>
      </c>
      <c r="AM54" s="72">
        <f>+AM52*AM53</f>
        <v>770.73785515717054</v>
      </c>
      <c r="AN54" s="72">
        <f>+AN52*AN53</f>
        <v>759.7008975429801</v>
      </c>
      <c r="AO54" s="72">
        <f t="shared" ref="AO54:AP54" si="129">+AO52*AO53</f>
        <v>780.40990639478969</v>
      </c>
      <c r="AP54" s="72">
        <f t="shared" si="129"/>
        <v>733.11564820906426</v>
      </c>
      <c r="AQ54" s="73">
        <f>SUM(AM54:AP54)</f>
        <v>3043.9643073040047</v>
      </c>
      <c r="AR54" s="72">
        <f>+AR52*AR53</f>
        <v>804.92975163993981</v>
      </c>
      <c r="AS54" s="72">
        <f>+AS52*AS53</f>
        <v>793.36526138497152</v>
      </c>
      <c r="AT54" s="72">
        <f t="shared" ref="AT54:AU54" si="130">+AT52*AT53</f>
        <v>814.95327267685389</v>
      </c>
      <c r="AU54" s="72">
        <f t="shared" si="130"/>
        <v>765.52954904732701</v>
      </c>
      <c r="AV54" s="73">
        <f>SUM(AR54:AU54)</f>
        <v>3178.7778347490921</v>
      </c>
    </row>
    <row r="55" spans="2:48" s="8" customFormat="1" outlineLevel="1" x14ac:dyDescent="0.3">
      <c r="B55" s="438" t="s">
        <v>179</v>
      </c>
      <c r="C55" s="439"/>
      <c r="D55" s="103">
        <v>5.7</v>
      </c>
      <c r="E55" s="103">
        <v>1.4</v>
      </c>
      <c r="F55" s="103">
        <v>2.6</v>
      </c>
      <c r="G55" s="103">
        <v>3.2</v>
      </c>
      <c r="H55" s="154"/>
      <c r="I55" s="103">
        <v>2.6</v>
      </c>
      <c r="J55" s="103">
        <v>2.2000000000000002</v>
      </c>
      <c r="K55" s="103">
        <v>1.1000000000000001</v>
      </c>
      <c r="L55" s="50">
        <v>1.7</v>
      </c>
      <c r="M55" s="97"/>
      <c r="N55" s="50">
        <v>2.2000000000000002</v>
      </c>
      <c r="O55" s="50">
        <v>2</v>
      </c>
      <c r="P55" s="50">
        <v>2</v>
      </c>
      <c r="Q55" s="103">
        <v>2.2000000000000002</v>
      </c>
      <c r="R55" s="191"/>
      <c r="S55" s="50">
        <v>2.2999999999999998</v>
      </c>
      <c r="T55" s="50">
        <v>2.4</v>
      </c>
      <c r="U55" s="50">
        <v>1</v>
      </c>
      <c r="V55" s="50">
        <f t="shared" ref="V55" si="131">+Q55*(1+V56)</f>
        <v>1.9800000000000002</v>
      </c>
      <c r="W55" s="166">
        <f>SUM(S55:V55)</f>
        <v>7.68</v>
      </c>
      <c r="X55" s="50">
        <f>+S55*(1+X56)</f>
        <v>1.9549999999999998</v>
      </c>
      <c r="Y55" s="50">
        <f>+T55*(1+Y56)</f>
        <v>1.968</v>
      </c>
      <c r="Z55" s="50">
        <f>+U55*(1+Z56)</f>
        <v>1.95</v>
      </c>
      <c r="AA55" s="50">
        <f t="shared" ref="AA55" si="132">+V55*(1+AA56)</f>
        <v>1.9800000000000002</v>
      </c>
      <c r="AB55" s="191">
        <f>SUM(X55:AA55)</f>
        <v>7.8530000000000006</v>
      </c>
      <c r="AC55" s="50">
        <f>+X55*(1+AC56)</f>
        <v>1.9549999999999998</v>
      </c>
      <c r="AD55" s="50">
        <f>+Y55*(1+AD56)</f>
        <v>1.968</v>
      </c>
      <c r="AE55" s="50">
        <f>+Z55*(1+AE56)</f>
        <v>1.95</v>
      </c>
      <c r="AF55" s="50">
        <f t="shared" ref="AF55" si="133">+AA55*(1+AF56)</f>
        <v>1.9800000000000002</v>
      </c>
      <c r="AG55" s="191">
        <f>SUM(AC55:AF55)</f>
        <v>7.8530000000000006</v>
      </c>
      <c r="AH55" s="50">
        <f>+AC55*(1+AH56)</f>
        <v>1.9549999999999998</v>
      </c>
      <c r="AI55" s="50">
        <f>+AD55*(1+AI56)</f>
        <v>1.968</v>
      </c>
      <c r="AJ55" s="50">
        <f>+AE55*(1+AJ56)</f>
        <v>1.95</v>
      </c>
      <c r="AK55" s="50">
        <f t="shared" ref="AK55" si="134">+AF55*(1+AK56)</f>
        <v>1.9800000000000002</v>
      </c>
      <c r="AL55" s="191">
        <f>SUM(AH55:AK55)</f>
        <v>7.8530000000000006</v>
      </c>
      <c r="AM55" s="50">
        <f>+AH55*(1+AM56)</f>
        <v>1.9549999999999998</v>
      </c>
      <c r="AN55" s="50">
        <f>+AI55*(1+AN56)</f>
        <v>1.968</v>
      </c>
      <c r="AO55" s="50">
        <f>+AJ55*(1+AO56)</f>
        <v>1.95</v>
      </c>
      <c r="AP55" s="50">
        <f t="shared" ref="AP55" si="135">+AK55*(1+AP56)</f>
        <v>1.9800000000000002</v>
      </c>
      <c r="AQ55" s="191">
        <f>SUM(AM55:AP55)</f>
        <v>7.8530000000000006</v>
      </c>
      <c r="AR55" s="50">
        <f>+AM55*(1+AR56)</f>
        <v>1.9549999999999998</v>
      </c>
      <c r="AS55" s="50">
        <f>+AN55*(1+AS56)</f>
        <v>1.968</v>
      </c>
      <c r="AT55" s="50">
        <f>+AO55*(1+AT56)</f>
        <v>1.95</v>
      </c>
      <c r="AU55" s="50">
        <f t="shared" ref="AU55" si="136">+AP55*(1+AU56)</f>
        <v>1.9800000000000002</v>
      </c>
      <c r="AV55" s="191">
        <f>SUM(AR55:AU55)</f>
        <v>7.8530000000000006</v>
      </c>
    </row>
    <row r="56" spans="2:48" outlineLevel="1" x14ac:dyDescent="0.3">
      <c r="B56" s="69" t="s">
        <v>50</v>
      </c>
      <c r="C56" s="70"/>
      <c r="D56" s="120"/>
      <c r="E56" s="120"/>
      <c r="F56" s="120"/>
      <c r="G56" s="120"/>
      <c r="H56" s="155"/>
      <c r="I56" s="120">
        <f>I55/D55-1</f>
        <v>-0.54385964912280704</v>
      </c>
      <c r="J56" s="120">
        <f t="shared" ref="J56" si="137">J55/E55-1</f>
        <v>0.57142857142857162</v>
      </c>
      <c r="K56" s="120">
        <f>K55/F55-1</f>
        <v>-0.57692307692307687</v>
      </c>
      <c r="L56" s="120">
        <f>L55/G55-1</f>
        <v>-0.46875</v>
      </c>
      <c r="M56" s="58"/>
      <c r="N56" s="120">
        <f>N55/I55-1</f>
        <v>-0.15384615384615385</v>
      </c>
      <c r="O56" s="120">
        <f t="shared" ref="O56" si="138">O55/J55-1</f>
        <v>-9.0909090909090939E-2</v>
      </c>
      <c r="P56" s="120">
        <f>P55/K55-1</f>
        <v>0.81818181818181812</v>
      </c>
      <c r="Q56" s="120">
        <f>Q55/L55-1</f>
        <v>0.29411764705882359</v>
      </c>
      <c r="R56" s="58"/>
      <c r="S56" s="120">
        <f>S55/N55-1</f>
        <v>4.5454545454545192E-2</v>
      </c>
      <c r="T56" s="120">
        <f t="shared" ref="T56:U56" si="139">T55/O55-1</f>
        <v>0.19999999999999996</v>
      </c>
      <c r="U56" s="120">
        <f t="shared" si="139"/>
        <v>-0.5</v>
      </c>
      <c r="V56" s="71">
        <v>-0.1</v>
      </c>
      <c r="W56" s="155"/>
      <c r="X56" s="71">
        <v>-0.15</v>
      </c>
      <c r="Y56" s="71">
        <v>-0.18</v>
      </c>
      <c r="Z56" s="71">
        <v>0.95</v>
      </c>
      <c r="AA56" s="71">
        <v>0</v>
      </c>
      <c r="AB56" s="374"/>
      <c r="AC56" s="71">
        <v>0</v>
      </c>
      <c r="AD56" s="71">
        <v>0</v>
      </c>
      <c r="AE56" s="71">
        <v>0</v>
      </c>
      <c r="AF56" s="71">
        <v>0</v>
      </c>
      <c r="AG56" s="58"/>
      <c r="AH56" s="71">
        <v>0</v>
      </c>
      <c r="AI56" s="71">
        <v>0</v>
      </c>
      <c r="AJ56" s="71">
        <v>0</v>
      </c>
      <c r="AK56" s="71">
        <v>0</v>
      </c>
      <c r="AL56" s="58"/>
      <c r="AM56" s="71">
        <v>0</v>
      </c>
      <c r="AN56" s="71">
        <v>0</v>
      </c>
      <c r="AO56" s="71">
        <v>0</v>
      </c>
      <c r="AP56" s="71">
        <v>0</v>
      </c>
      <c r="AQ56" s="58"/>
      <c r="AR56" s="71">
        <v>0</v>
      </c>
      <c r="AS56" s="71">
        <v>0</v>
      </c>
      <c r="AT56" s="71">
        <v>0</v>
      </c>
      <c r="AU56" s="71">
        <v>0</v>
      </c>
      <c r="AV56" s="58"/>
    </row>
    <row r="57" spans="2:48" outlineLevel="1" x14ac:dyDescent="0.3">
      <c r="B57" s="180" t="s">
        <v>180</v>
      </c>
      <c r="C57" s="207"/>
      <c r="D57" s="101">
        <f t="shared" ref="D57:G58" si="140">+D50+D41</f>
        <v>17653</v>
      </c>
      <c r="E57" s="101">
        <f t="shared" si="140"/>
        <v>17719</v>
      </c>
      <c r="F57" s="101">
        <f t="shared" si="140"/>
        <v>17853</v>
      </c>
      <c r="G57" s="101">
        <f t="shared" si="140"/>
        <v>18067</v>
      </c>
      <c r="H57" s="122"/>
      <c r="I57" s="101">
        <f t="shared" ref="I57:L58" si="141">+I50+I41</f>
        <v>18203</v>
      </c>
      <c r="J57" s="101">
        <f t="shared" si="141"/>
        <v>18271</v>
      </c>
      <c r="K57" s="101">
        <f t="shared" si="141"/>
        <v>18235</v>
      </c>
      <c r="L57" s="16">
        <f t="shared" si="141"/>
        <v>16940</v>
      </c>
      <c r="M57" s="6"/>
      <c r="N57" s="16">
        <f t="shared" ref="N57:Q58" si="142">+N50+N41</f>
        <v>18308</v>
      </c>
      <c r="O57" s="16">
        <f t="shared" si="142"/>
        <v>18120</v>
      </c>
      <c r="P57" s="16">
        <f t="shared" si="142"/>
        <v>18175</v>
      </c>
      <c r="Q57" s="101">
        <f t="shared" si="142"/>
        <v>16826</v>
      </c>
      <c r="R57" s="6"/>
      <c r="S57" s="16">
        <f t="shared" ref="S57:V58" si="143">+S50+S41</f>
        <v>16888</v>
      </c>
      <c r="T57" s="16">
        <f t="shared" si="143"/>
        <v>16926</v>
      </c>
      <c r="U57" s="16">
        <f t="shared" si="143"/>
        <v>17050</v>
      </c>
      <c r="V57" s="16">
        <f t="shared" si="143"/>
        <v>17174</v>
      </c>
      <c r="W57" s="254">
        <f>W58/Q57</f>
        <v>2.0682277427790323E-2</v>
      </c>
      <c r="X57" s="16">
        <f t="shared" ref="X57:AA58" si="144">+X50+X41</f>
        <v>17302.5</v>
      </c>
      <c r="Y57" s="16">
        <f t="shared" si="144"/>
        <v>17431</v>
      </c>
      <c r="Z57" s="16">
        <f t="shared" si="144"/>
        <v>17559.5</v>
      </c>
      <c r="AA57" s="16">
        <f t="shared" si="144"/>
        <v>17689</v>
      </c>
      <c r="AB57" s="254">
        <f>AB58/V57</f>
        <v>2.9987189938278792E-2</v>
      </c>
      <c r="AC57" s="16">
        <f t="shared" ref="AC57:AF57" si="145">+AC50+AC41</f>
        <v>17843</v>
      </c>
      <c r="AD57" s="16">
        <f t="shared" si="145"/>
        <v>17997</v>
      </c>
      <c r="AE57" s="16">
        <f t="shared" si="145"/>
        <v>18152</v>
      </c>
      <c r="AF57" s="16">
        <f t="shared" si="145"/>
        <v>18308</v>
      </c>
      <c r="AG57" s="254">
        <f>AG58/AA57</f>
        <v>3.499349878455537E-2</v>
      </c>
      <c r="AH57" s="16">
        <f t="shared" ref="AH57:AK57" si="146">+AH50+AH41</f>
        <v>18491</v>
      </c>
      <c r="AI57" s="16">
        <f t="shared" si="146"/>
        <v>18674</v>
      </c>
      <c r="AJ57" s="16">
        <f t="shared" si="146"/>
        <v>18857</v>
      </c>
      <c r="AK57" s="16">
        <f t="shared" si="146"/>
        <v>19040</v>
      </c>
      <c r="AL57" s="254">
        <f>AL58/AF57</f>
        <v>3.9982521302162989E-2</v>
      </c>
      <c r="AM57" s="16">
        <f t="shared" ref="AM57:AP57" si="147">+AM50+AM41</f>
        <v>19164</v>
      </c>
      <c r="AN57" s="16">
        <f t="shared" si="147"/>
        <v>19288</v>
      </c>
      <c r="AO57" s="16">
        <f t="shared" si="147"/>
        <v>19412</v>
      </c>
      <c r="AP57" s="16">
        <f t="shared" si="147"/>
        <v>19536</v>
      </c>
      <c r="AQ57" s="254">
        <f>AQ58/AK57</f>
        <v>2.6050420168067228E-2</v>
      </c>
      <c r="AR57" s="16">
        <f t="shared" ref="AR57:AU57" si="148">+AR50+AR41</f>
        <v>19660</v>
      </c>
      <c r="AS57" s="16">
        <f t="shared" si="148"/>
        <v>19784</v>
      </c>
      <c r="AT57" s="16">
        <f t="shared" si="148"/>
        <v>19908</v>
      </c>
      <c r="AU57" s="16">
        <f t="shared" si="148"/>
        <v>20032</v>
      </c>
      <c r="AV57" s="254">
        <f>AV58/AP57</f>
        <v>2.5389025389025387E-2</v>
      </c>
    </row>
    <row r="58" spans="2:48" outlineLevel="1" x14ac:dyDescent="0.3">
      <c r="B58" s="180" t="s">
        <v>181</v>
      </c>
      <c r="C58" s="207"/>
      <c r="D58" s="101">
        <f t="shared" si="140"/>
        <v>193</v>
      </c>
      <c r="E58" s="101">
        <f t="shared" si="140"/>
        <v>66</v>
      </c>
      <c r="F58" s="101">
        <f t="shared" si="140"/>
        <v>134</v>
      </c>
      <c r="G58" s="101">
        <f t="shared" si="140"/>
        <v>214</v>
      </c>
      <c r="H58" s="122">
        <f>+H51+H42</f>
        <v>607</v>
      </c>
      <c r="I58" s="101">
        <f t="shared" si="141"/>
        <v>136</v>
      </c>
      <c r="J58" s="101">
        <f t="shared" si="141"/>
        <v>68</v>
      </c>
      <c r="K58" s="101">
        <f t="shared" si="141"/>
        <v>-36</v>
      </c>
      <c r="L58" s="16">
        <f t="shared" si="141"/>
        <v>124</v>
      </c>
      <c r="M58" s="122"/>
      <c r="N58" s="16">
        <f t="shared" si="142"/>
        <v>-46</v>
      </c>
      <c r="O58" s="16">
        <f t="shared" si="142"/>
        <v>-188</v>
      </c>
      <c r="P58" s="16">
        <f t="shared" si="142"/>
        <v>55</v>
      </c>
      <c r="Q58" s="101">
        <f t="shared" si="142"/>
        <v>74</v>
      </c>
      <c r="R58" s="122"/>
      <c r="S58" s="16">
        <f t="shared" si="143"/>
        <v>62</v>
      </c>
      <c r="T58" s="16">
        <f t="shared" si="143"/>
        <v>38</v>
      </c>
      <c r="U58" s="16">
        <f t="shared" si="143"/>
        <v>124</v>
      </c>
      <c r="V58" s="16">
        <f t="shared" si="143"/>
        <v>124</v>
      </c>
      <c r="W58" s="122">
        <f>+W51+W42</f>
        <v>348</v>
      </c>
      <c r="X58" s="16">
        <f t="shared" si="144"/>
        <v>128.5</v>
      </c>
      <c r="Y58" s="16">
        <f t="shared" si="144"/>
        <v>128.5</v>
      </c>
      <c r="Z58" s="16">
        <f t="shared" si="144"/>
        <v>128.5</v>
      </c>
      <c r="AA58" s="16">
        <f t="shared" si="144"/>
        <v>129.5</v>
      </c>
      <c r="AB58" s="122">
        <f>+AB51+AB42</f>
        <v>515</v>
      </c>
      <c r="AC58" s="16">
        <f t="shared" ref="AC58:AF58" si="149">+AC51+AC42</f>
        <v>154</v>
      </c>
      <c r="AD58" s="16">
        <f t="shared" si="149"/>
        <v>154</v>
      </c>
      <c r="AE58" s="16">
        <f t="shared" si="149"/>
        <v>155</v>
      </c>
      <c r="AF58" s="16">
        <f t="shared" si="149"/>
        <v>156</v>
      </c>
      <c r="AG58" s="122">
        <f>+AG51+AG42</f>
        <v>619</v>
      </c>
      <c r="AH58" s="16">
        <f t="shared" ref="AH58:AK58" si="150">+AH51+AH42</f>
        <v>183</v>
      </c>
      <c r="AI58" s="16">
        <f t="shared" si="150"/>
        <v>183</v>
      </c>
      <c r="AJ58" s="16">
        <f t="shared" si="150"/>
        <v>183</v>
      </c>
      <c r="AK58" s="16">
        <f t="shared" si="150"/>
        <v>183</v>
      </c>
      <c r="AL58" s="122">
        <f>+AL51+AL42</f>
        <v>732</v>
      </c>
      <c r="AM58" s="16">
        <f t="shared" ref="AM58:AP58" si="151">+AM51+AM42</f>
        <v>124</v>
      </c>
      <c r="AN58" s="16">
        <f t="shared" si="151"/>
        <v>124</v>
      </c>
      <c r="AO58" s="16">
        <f t="shared" si="151"/>
        <v>124</v>
      </c>
      <c r="AP58" s="16">
        <f t="shared" si="151"/>
        <v>124</v>
      </c>
      <c r="AQ58" s="122">
        <f>+AQ51+AQ42</f>
        <v>496</v>
      </c>
      <c r="AR58" s="16">
        <f t="shared" ref="AR58:AU58" si="152">+AR51+AR42</f>
        <v>124</v>
      </c>
      <c r="AS58" s="16">
        <f t="shared" si="152"/>
        <v>124</v>
      </c>
      <c r="AT58" s="16">
        <f t="shared" si="152"/>
        <v>124</v>
      </c>
      <c r="AU58" s="16">
        <f t="shared" si="152"/>
        <v>124</v>
      </c>
      <c r="AV58" s="122">
        <f>+AV51+AV42</f>
        <v>496</v>
      </c>
    </row>
    <row r="59" spans="2:48" outlineLevel="1" x14ac:dyDescent="0.3">
      <c r="B59" s="452" t="s">
        <v>182</v>
      </c>
      <c r="C59" s="453"/>
      <c r="D59" s="115">
        <f>+D55+D54+D45</f>
        <v>4612.5</v>
      </c>
      <c r="E59" s="115">
        <f>+E55+E54+E45</f>
        <v>4314.1000000000004</v>
      </c>
      <c r="F59" s="115">
        <f>+F55+F54+F45</f>
        <v>4681.0999999999995</v>
      </c>
      <c r="G59" s="115">
        <f>+G55+G54+G45</f>
        <v>4651.3999999999996</v>
      </c>
      <c r="H59" s="132">
        <f>SUM(D59:G59)</f>
        <v>18259.099999999999</v>
      </c>
      <c r="I59" s="115">
        <f>+I55+I54+I45</f>
        <v>5010.8999999999996</v>
      </c>
      <c r="J59" s="115">
        <f>+J55+J54+J45</f>
        <v>4330</v>
      </c>
      <c r="K59" s="115">
        <f>+K55+K54+K45</f>
        <v>2805.5</v>
      </c>
      <c r="L59" s="72">
        <f>+L55+L54+L45</f>
        <v>4213.9000000000005</v>
      </c>
      <c r="M59" s="97"/>
      <c r="N59" s="72">
        <f>+N55+N54+N45</f>
        <v>4703.2</v>
      </c>
      <c r="O59" s="72">
        <f>+O55+O54+O45</f>
        <v>4664.5999999999995</v>
      </c>
      <c r="P59" s="72">
        <f>+P55+P54+P45</f>
        <v>5400.3</v>
      </c>
      <c r="Q59" s="115">
        <f>+Q55+Q54+Q45</f>
        <v>5763</v>
      </c>
      <c r="R59" s="97"/>
      <c r="S59" s="72">
        <f>+S55+S54+S45</f>
        <v>5732.3</v>
      </c>
      <c r="T59" s="72">
        <f>+T55+T54+T45</f>
        <v>5445.7</v>
      </c>
      <c r="U59" s="72">
        <f>+U55+U54+U45</f>
        <v>6058.4</v>
      </c>
      <c r="V59" s="72">
        <f>+V55+V54+V45</f>
        <v>5948.1423230719047</v>
      </c>
      <c r="W59" s="97">
        <f>SUM(S59:V59)</f>
        <v>23184.542323071906</v>
      </c>
      <c r="X59" s="72">
        <f>+X55+X54+X45</f>
        <v>6322.4839469008721</v>
      </c>
      <c r="Y59" s="72">
        <f>+Y55+Y54+Y45</f>
        <v>6018.3020813023186</v>
      </c>
      <c r="Z59" s="72">
        <f>+Z55+Z54+Z45</f>
        <v>6550.4421555979388</v>
      </c>
      <c r="AA59" s="72">
        <f>+AA55+AA54+AA45</f>
        <v>6411.5699462423026</v>
      </c>
      <c r="AB59" s="97">
        <f>SUM(X59:AA59)</f>
        <v>25302.798130043433</v>
      </c>
      <c r="AC59" s="72">
        <f>+AC55+AC54+AC45</f>
        <v>6809.3135493720583</v>
      </c>
      <c r="AD59" s="72">
        <f>+AD55+AD54+AD45</f>
        <v>6488.619441220394</v>
      </c>
      <c r="AE59" s="72">
        <f>+AE55+AE54+AE45</f>
        <v>7069.1598101448853</v>
      </c>
      <c r="AF59" s="72">
        <f>+AF55+AF54+AF45</f>
        <v>6926.3033054024827</v>
      </c>
      <c r="AG59" s="97">
        <f>SUM(AC59:AF59)</f>
        <v>27293.396106139819</v>
      </c>
      <c r="AH59" s="72">
        <f>+AH55+AH54+AH45</f>
        <v>7504.9952760649394</v>
      </c>
      <c r="AI59" s="72">
        <f>+AI55+AI54+AI45</f>
        <v>7160.1474088324894</v>
      </c>
      <c r="AJ59" s="72">
        <f>+AJ55+AJ54+AJ45</f>
        <v>7808.549645737502</v>
      </c>
      <c r="AK59" s="72">
        <f>+AK55+AK54+AK45</f>
        <v>7658.0586675513578</v>
      </c>
      <c r="AL59" s="97">
        <f>SUM(AH59:AK59)</f>
        <v>30131.75099818629</v>
      </c>
      <c r="AM59" s="72">
        <f>+AM55+AM54+AM45</f>
        <v>8146.5413128208293</v>
      </c>
      <c r="AN59" s="72">
        <f>+AN55+AN54+AN45</f>
        <v>7770.2047752686849</v>
      </c>
      <c r="AO59" s="72">
        <f>+AO55+AO54+AO45</f>
        <v>8471.6119221587378</v>
      </c>
      <c r="AP59" s="72">
        <f>+AP55+AP54+AP45</f>
        <v>8306.7510669112144</v>
      </c>
      <c r="AQ59" s="97">
        <f>SUM(AM59:AP59)</f>
        <v>32695.109077159468</v>
      </c>
      <c r="AR59" s="72">
        <f>+AR55+AR54+AR45</f>
        <v>8665.4088745940426</v>
      </c>
      <c r="AS59" s="72">
        <f>+AS55+AS54+AS45</f>
        <v>8262.3802853294328</v>
      </c>
      <c r="AT59" s="72">
        <f>+AT55+AT54+AT45</f>
        <v>9006.8783965318125</v>
      </c>
      <c r="AU59" s="72">
        <f>+AU55+AU54+AU45</f>
        <v>8829.9826309449036</v>
      </c>
      <c r="AV59" s="97">
        <f>SUM(AR59:AU59)</f>
        <v>34764.650187400191</v>
      </c>
    </row>
    <row r="60" spans="2:48" outlineLevel="1" x14ac:dyDescent="0.3">
      <c r="B60" s="458" t="s">
        <v>100</v>
      </c>
      <c r="C60" s="459"/>
      <c r="D60" s="105">
        <v>1351.3</v>
      </c>
      <c r="E60" s="105">
        <v>1220.5</v>
      </c>
      <c r="F60" s="105">
        <v>1324</v>
      </c>
      <c r="G60" s="105">
        <v>1278.9000000000001</v>
      </c>
      <c r="H60" s="129"/>
      <c r="I60" s="105">
        <v>1388.4</v>
      </c>
      <c r="J60" s="105">
        <v>1248.2</v>
      </c>
      <c r="K60" s="105">
        <v>805.6</v>
      </c>
      <c r="L60" s="48">
        <v>1158.3</v>
      </c>
      <c r="M60" s="76"/>
      <c r="N60" s="48">
        <v>1276.2</v>
      </c>
      <c r="O60" s="48">
        <v>1227.5999999999999</v>
      </c>
      <c r="P60" s="48">
        <v>1416.2</v>
      </c>
      <c r="Q60" s="105">
        <v>1580.3</v>
      </c>
      <c r="R60" s="76"/>
      <c r="S60" s="48">
        <v>1629.4</v>
      </c>
      <c r="T60" s="48">
        <v>1564</v>
      </c>
      <c r="U60" s="48">
        <v>1713.2</v>
      </c>
      <c r="V60" s="48">
        <f t="shared" ref="V60:AA60" si="153">V61*V59</f>
        <v>1705.4205475878575</v>
      </c>
      <c r="W60" s="76">
        <f>SUM(S60:V60)</f>
        <v>6612.0205475878574</v>
      </c>
      <c r="X60" s="48">
        <f t="shared" si="153"/>
        <v>1828.7715605820317</v>
      </c>
      <c r="Y60" s="48">
        <f t="shared" si="153"/>
        <v>1743.4965430095665</v>
      </c>
      <c r="Z60" s="48">
        <f t="shared" si="153"/>
        <v>1868.7162448598765</v>
      </c>
      <c r="AA60" s="48">
        <f t="shared" si="153"/>
        <v>1774.1764150697893</v>
      </c>
      <c r="AB60" s="76">
        <f>SUM(X60:AA60)</f>
        <v>7215.160763521264</v>
      </c>
      <c r="AC60" s="48">
        <f t="shared" ref="AC60:AF60" si="154">AC61*AC59</f>
        <v>1901.493354683374</v>
      </c>
      <c r="AD60" s="48">
        <f t="shared" si="154"/>
        <v>1873.2584274574945</v>
      </c>
      <c r="AE60" s="48">
        <f t="shared" si="154"/>
        <v>2009.627341118264</v>
      </c>
      <c r="AF60" s="48">
        <f t="shared" si="154"/>
        <v>1985.8737962676512</v>
      </c>
      <c r="AG60" s="76">
        <f>SUM(AC60:AF60)</f>
        <v>7770.2529195267834</v>
      </c>
      <c r="AH60" s="48">
        <f t="shared" ref="AH60:AK60" si="155">AH61*AH59</f>
        <v>2088.2567200415697</v>
      </c>
      <c r="AI60" s="48">
        <f t="shared" si="155"/>
        <v>2059.9677827985665</v>
      </c>
      <c r="AJ60" s="48">
        <f t="shared" si="155"/>
        <v>2212.0132232378774</v>
      </c>
      <c r="AK60" s="48">
        <f t="shared" si="155"/>
        <v>2188.0208435700229</v>
      </c>
      <c r="AL60" s="76">
        <f>SUM(AH60:AK60)</f>
        <v>8548.2585696480364</v>
      </c>
      <c r="AM60" s="48">
        <f t="shared" ref="AM60:AP60" si="156">AM61*AM59</f>
        <v>2266.7662024851043</v>
      </c>
      <c r="AN60" s="48">
        <f t="shared" si="156"/>
        <v>2235.4807225136465</v>
      </c>
      <c r="AO60" s="48">
        <f t="shared" si="156"/>
        <v>2399.8461230484872</v>
      </c>
      <c r="AP60" s="48">
        <f t="shared" si="156"/>
        <v>2373.3618748262707</v>
      </c>
      <c r="AQ60" s="76">
        <f>SUM(AM60:AP60)</f>
        <v>9275.4549228735086</v>
      </c>
      <c r="AR60" s="48">
        <f t="shared" ref="AR60:AU60" si="157">AR61*AR59</f>
        <v>2411.1405335576505</v>
      </c>
      <c r="AS60" s="48">
        <f t="shared" si="157"/>
        <v>2377.0791612492685</v>
      </c>
      <c r="AT60" s="48">
        <f t="shared" si="157"/>
        <v>2551.4769089160632</v>
      </c>
      <c r="AU60" s="48">
        <f t="shared" si="157"/>
        <v>2522.8568862670118</v>
      </c>
      <c r="AV60" s="76">
        <f>SUM(AR60:AU60)</f>
        <v>9862.553489989994</v>
      </c>
    </row>
    <row r="61" spans="2:48" s="184" customFormat="1" outlineLevel="1" x14ac:dyDescent="0.3">
      <c r="B61" s="181" t="s">
        <v>151</v>
      </c>
      <c r="C61" s="185"/>
      <c r="D61" s="167">
        <f>D60/D59</f>
        <v>0.29296476964769647</v>
      </c>
      <c r="E61" s="167">
        <f t="shared" ref="E61:U61" si="158">E60/E59</f>
        <v>0.28290952921814511</v>
      </c>
      <c r="F61" s="167">
        <f t="shared" si="158"/>
        <v>0.28283950353549381</v>
      </c>
      <c r="G61" s="167">
        <f t="shared" si="158"/>
        <v>0.27494947757664362</v>
      </c>
      <c r="H61" s="186"/>
      <c r="I61" s="167">
        <f t="shared" si="158"/>
        <v>0.27707597437586068</v>
      </c>
      <c r="J61" s="167">
        <f t="shared" si="158"/>
        <v>0.28826789838337186</v>
      </c>
      <c r="K61" s="167">
        <f t="shared" si="158"/>
        <v>0.28715024059882377</v>
      </c>
      <c r="L61" s="187">
        <f t="shared" si="158"/>
        <v>0.27487600560051256</v>
      </c>
      <c r="M61" s="188"/>
      <c r="N61" s="187">
        <f t="shared" si="158"/>
        <v>0.27134716788569485</v>
      </c>
      <c r="O61" s="167">
        <f t="shared" si="158"/>
        <v>0.26317369120610556</v>
      </c>
      <c r="P61" s="167">
        <f t="shared" si="158"/>
        <v>0.26224469010980872</v>
      </c>
      <c r="Q61" s="167">
        <f t="shared" si="158"/>
        <v>0.27421481867083114</v>
      </c>
      <c r="R61" s="188"/>
      <c r="S61" s="187">
        <f t="shared" si="158"/>
        <v>0.28424890532595992</v>
      </c>
      <c r="T61" s="167">
        <f t="shared" si="158"/>
        <v>0.28719907449914611</v>
      </c>
      <c r="U61" s="167">
        <f t="shared" si="158"/>
        <v>0.28278093225934242</v>
      </c>
      <c r="V61" s="189">
        <f>Q61+1.25%</f>
        <v>0.28671481867083115</v>
      </c>
      <c r="W61" s="188">
        <f t="shared" ref="W61" si="159">W60/W59</f>
        <v>0.2851909024319173</v>
      </c>
      <c r="X61" s="189">
        <f>S61+0.5%</f>
        <v>0.28924890532595993</v>
      </c>
      <c r="Y61" s="189">
        <f>T61+0.25%</f>
        <v>0.28969907449914611</v>
      </c>
      <c r="Z61" s="189">
        <f>U61+0.25%</f>
        <v>0.28528093225934242</v>
      </c>
      <c r="AA61" s="189">
        <f>V61-1%</f>
        <v>0.27671481867083114</v>
      </c>
      <c r="AB61" s="188">
        <f t="shared" ref="AB61" si="160">AB60/AB59</f>
        <v>0.28515268257838638</v>
      </c>
      <c r="AC61" s="189">
        <f>X61-1%</f>
        <v>0.27924890532595992</v>
      </c>
      <c r="AD61" s="189">
        <f>Y61-0.1%</f>
        <v>0.28869907449914611</v>
      </c>
      <c r="AE61" s="189">
        <f>Z61-0.1%</f>
        <v>0.28428093225934242</v>
      </c>
      <c r="AF61" s="189">
        <f>AA61+1%</f>
        <v>0.28671481867083115</v>
      </c>
      <c r="AG61" s="188">
        <f t="shared" ref="AG61" si="161">AG60/AG59</f>
        <v>0.28469351667742138</v>
      </c>
      <c r="AH61" s="189">
        <f t="shared" ref="AH61:AK61" si="162">AC61-0.1%</f>
        <v>0.27824890532595992</v>
      </c>
      <c r="AI61" s="189">
        <f t="shared" si="162"/>
        <v>0.28769907449914611</v>
      </c>
      <c r="AJ61" s="189">
        <f t="shared" si="162"/>
        <v>0.28328093225934242</v>
      </c>
      <c r="AK61" s="189">
        <f t="shared" si="162"/>
        <v>0.28571481867083115</v>
      </c>
      <c r="AL61" s="188">
        <f t="shared" ref="AL61" si="163">AL60/AL59</f>
        <v>0.28369604442047125</v>
      </c>
      <c r="AM61" s="189">
        <f>AH61</f>
        <v>0.27824890532595992</v>
      </c>
      <c r="AN61" s="189">
        <f t="shared" ref="AN61" si="164">AI61</f>
        <v>0.28769907449914611</v>
      </c>
      <c r="AO61" s="189">
        <f t="shared" ref="AO61" si="165">AJ61</f>
        <v>0.28328093225934242</v>
      </c>
      <c r="AP61" s="189">
        <f t="shared" ref="AP61" si="166">AK61</f>
        <v>0.28571481867083115</v>
      </c>
      <c r="AQ61" s="188">
        <f t="shared" ref="AQ61" si="167">AQ60/AQ59</f>
        <v>0.28369548793930355</v>
      </c>
      <c r="AR61" s="189">
        <f>AM61</f>
        <v>0.27824890532595992</v>
      </c>
      <c r="AS61" s="189">
        <f t="shared" ref="AS61" si="168">AN61</f>
        <v>0.28769907449914611</v>
      </c>
      <c r="AT61" s="189">
        <f t="shared" ref="AT61" si="169">AO61</f>
        <v>0.28328093225934242</v>
      </c>
      <c r="AU61" s="189">
        <f t="shared" ref="AU61" si="170">AP61</f>
        <v>0.28571481867083115</v>
      </c>
      <c r="AV61" s="188">
        <f t="shared" ref="AV61" si="171">AV60/AV59</f>
        <v>0.28369488652483249</v>
      </c>
    </row>
    <row r="62" spans="2:48" outlineLevel="1" x14ac:dyDescent="0.3">
      <c r="B62" s="180" t="s">
        <v>32</v>
      </c>
      <c r="C62" s="18"/>
      <c r="D62" s="48">
        <v>1983.1</v>
      </c>
      <c r="E62" s="48">
        <v>1935.7</v>
      </c>
      <c r="F62" s="48">
        <v>2034</v>
      </c>
      <c r="G62" s="48">
        <v>2112.1</v>
      </c>
      <c r="H62" s="49"/>
      <c r="I62" s="48">
        <v>2214.4</v>
      </c>
      <c r="J62" s="48">
        <v>2158.6</v>
      </c>
      <c r="K62" s="48">
        <v>2054.4</v>
      </c>
      <c r="L62" s="48">
        <v>2060.6999999999998</v>
      </c>
      <c r="M62" s="165"/>
      <c r="N62" s="48">
        <v>2238.8000000000002</v>
      </c>
      <c r="O62" s="48">
        <v>2203.1</v>
      </c>
      <c r="P62" s="48">
        <v>2346.8000000000002</v>
      </c>
      <c r="Q62" s="105">
        <v>2570.8000000000002</v>
      </c>
      <c r="R62" s="49"/>
      <c r="S62" s="48">
        <v>2702.4</v>
      </c>
      <c r="T62" s="48">
        <v>2625.4</v>
      </c>
      <c r="U62" s="48">
        <v>2670</v>
      </c>
      <c r="V62" s="48">
        <f>V63*V45</f>
        <v>2726.9807861340696</v>
      </c>
      <c r="W62" s="49">
        <f>SUM(S62:V62)</f>
        <v>10724.78078613407</v>
      </c>
      <c r="X62" s="48">
        <f>X63*X45</f>
        <v>3006.850845647361</v>
      </c>
      <c r="Y62" s="48">
        <f>Y63*Y45</f>
        <v>2910.4487867575176</v>
      </c>
      <c r="Z62" s="48">
        <f>Z63*Z45</f>
        <v>2945.8542052939415</v>
      </c>
      <c r="AA62" s="48">
        <f>AA63*AA45</f>
        <v>2936.9830163853408</v>
      </c>
      <c r="AB62" s="49">
        <f>SUM(X62:AA62)</f>
        <v>11800.136854084159</v>
      </c>
      <c r="AC62" s="48">
        <f>AC63*AC45</f>
        <v>3172.2553472433583</v>
      </c>
      <c r="AD62" s="48">
        <f>AD63*AD45</f>
        <v>3127.5011657438504</v>
      </c>
      <c r="AE62" s="48">
        <f>AE63*AE45</f>
        <v>3168.2039736852134</v>
      </c>
      <c r="AF62" s="48">
        <f>AF63*AF45</f>
        <v>3231.4556427535872</v>
      </c>
      <c r="AG62" s="49">
        <f>SUM(AC62:AF62)</f>
        <v>12699.416129426008</v>
      </c>
      <c r="AH62" s="48">
        <f>AH63*AH45</f>
        <v>3484.222485661282</v>
      </c>
      <c r="AI62" s="48">
        <f>AI63*AI45</f>
        <v>3439.12178578253</v>
      </c>
      <c r="AJ62" s="48">
        <f>AJ63*AJ45</f>
        <v>3486.9825205405159</v>
      </c>
      <c r="AK62" s="48">
        <f>AK63*AK45</f>
        <v>3560.3482386881774</v>
      </c>
      <c r="AL62" s="49">
        <f>SUM(AH62:AK62)</f>
        <v>13970.675030672504</v>
      </c>
      <c r="AM62" s="48">
        <f>AM63*AM45</f>
        <v>3777.5263559447735</v>
      </c>
      <c r="AN62" s="48">
        <f>AN63*AN45</f>
        <v>3731.0350285046843</v>
      </c>
      <c r="AO62" s="48">
        <f>AO63*AO45</f>
        <v>3785.3591300508269</v>
      </c>
      <c r="AP62" s="48">
        <f>AP63*AP45</f>
        <v>3867.4157081493158</v>
      </c>
      <c r="AQ62" s="49">
        <f>SUM(AM62:AP62)</f>
        <v>15161.336222649601</v>
      </c>
      <c r="AR62" s="48">
        <f>AR63*AR45</f>
        <v>4025.8193755574684</v>
      </c>
      <c r="AS62" s="48">
        <f>AS63*AS45</f>
        <v>3975.1261164791313</v>
      </c>
      <c r="AT62" s="48">
        <f>AT63*AT45</f>
        <v>4031.8612325900453</v>
      </c>
      <c r="AU62" s="48">
        <f>AU63*AU45</f>
        <v>4118.1133212222176</v>
      </c>
      <c r="AV62" s="49">
        <f>SUM(AR62:AU62)</f>
        <v>16150.920045848863</v>
      </c>
    </row>
    <row r="63" spans="2:48" s="184" customFormat="1" outlineLevel="1" x14ac:dyDescent="0.3">
      <c r="B63" s="181" t="s">
        <v>150</v>
      </c>
      <c r="C63" s="190"/>
      <c r="D63" s="187">
        <f>D62/D45</f>
        <v>0.48460485802257952</v>
      </c>
      <c r="E63" s="187">
        <f>E62/E45</f>
        <v>0.50283146300914383</v>
      </c>
      <c r="F63" s="187">
        <f>F62/F45</f>
        <v>0.48634689876141746</v>
      </c>
      <c r="G63" s="187">
        <f>G62/G45</f>
        <v>0.5072042649248355</v>
      </c>
      <c r="H63" s="188"/>
      <c r="I63" s="187">
        <f>I62/I45</f>
        <v>0.49528069783046302</v>
      </c>
      <c r="J63" s="187">
        <f>J62/J45</f>
        <v>0.55870172895744896</v>
      </c>
      <c r="K63" s="187">
        <f>K62/K45</f>
        <v>0.79971972439565575</v>
      </c>
      <c r="L63" s="187">
        <f>L62/L45</f>
        <v>0.53175238046086748</v>
      </c>
      <c r="M63" s="188"/>
      <c r="N63" s="187">
        <f>N62/N45</f>
        <v>0.52249813293502612</v>
      </c>
      <c r="O63" s="187">
        <f>O62/O45</f>
        <v>0.51614187986130633</v>
      </c>
      <c r="P63" s="187">
        <f>P62/P45</f>
        <v>0.47604365288652684</v>
      </c>
      <c r="Q63" s="167">
        <f>Q62/Q45</f>
        <v>0.48927545058333177</v>
      </c>
      <c r="R63" s="188"/>
      <c r="S63" s="187">
        <f>S62/S45</f>
        <v>0.51828695268598601</v>
      </c>
      <c r="T63" s="187">
        <f>T62/T45</f>
        <v>0.53185584344549564</v>
      </c>
      <c r="U63" s="187">
        <f>U62/U45</f>
        <v>0.48429224406878041</v>
      </c>
      <c r="V63" s="189">
        <f>Q63+1.25%</f>
        <v>0.50177545058333173</v>
      </c>
      <c r="W63" s="188">
        <f>W62/W45</f>
        <v>0.50832528116366638</v>
      </c>
      <c r="X63" s="189">
        <f>S63+0.5%</f>
        <v>0.52328695268598602</v>
      </c>
      <c r="Y63" s="189">
        <f>T63+0.25%</f>
        <v>0.53435584344549558</v>
      </c>
      <c r="Z63" s="189">
        <f>U63+1%</f>
        <v>0.49429224406878042</v>
      </c>
      <c r="AA63" s="189">
        <f>V63</f>
        <v>0.50177545058333173</v>
      </c>
      <c r="AB63" s="188">
        <f>AB62/AB45</f>
        <v>0.51292326904967711</v>
      </c>
      <c r="AC63" s="189">
        <f>X63-1%</f>
        <v>0.51328695268598601</v>
      </c>
      <c r="AD63" s="189">
        <f>Y63-0.1%</f>
        <v>0.53335584344549558</v>
      </c>
      <c r="AE63" s="189">
        <f>Z63-0.1%</f>
        <v>0.49329224406878042</v>
      </c>
      <c r="AF63" s="189">
        <f>AA63+1%</f>
        <v>0.51177545058333174</v>
      </c>
      <c r="AG63" s="188">
        <f>AG62/AG45</f>
        <v>0.5124685373089205</v>
      </c>
      <c r="AH63" s="189">
        <f t="shared" ref="AH63" si="172">AC63-0.1%</f>
        <v>0.51228695268598601</v>
      </c>
      <c r="AI63" s="189">
        <f t="shared" ref="AI63" si="173">AD63-0.1%</f>
        <v>0.53235584344549558</v>
      </c>
      <c r="AJ63" s="189">
        <f t="shared" ref="AJ63" si="174">AE63-0.1%</f>
        <v>0.49229224406878042</v>
      </c>
      <c r="AK63" s="189">
        <f t="shared" ref="AK63" si="175">AF63-0.1%</f>
        <v>0.51077545058333174</v>
      </c>
      <c r="AL63" s="188">
        <f>AL62/AL45</f>
        <v>0.51146277220653291</v>
      </c>
      <c r="AM63" s="189">
        <f>AH63</f>
        <v>0.51228695268598601</v>
      </c>
      <c r="AN63" s="189">
        <f t="shared" ref="AN63" si="176">AI63</f>
        <v>0.53235584344549558</v>
      </c>
      <c r="AO63" s="189">
        <f t="shared" ref="AO63" si="177">AJ63</f>
        <v>0.49229224406878042</v>
      </c>
      <c r="AP63" s="189">
        <f t="shared" ref="AP63" si="178">AK63</f>
        <v>0.51077545058333174</v>
      </c>
      <c r="AQ63" s="188">
        <f>AQ62/AQ45</f>
        <v>0.51145926506270478</v>
      </c>
      <c r="AR63" s="189">
        <f>AM63</f>
        <v>0.51228695268598601</v>
      </c>
      <c r="AS63" s="189">
        <f t="shared" ref="AS63" si="179">AN63</f>
        <v>0.53235584344549558</v>
      </c>
      <c r="AT63" s="189">
        <f t="shared" ref="AT63" si="180">AO63</f>
        <v>0.49229224406878042</v>
      </c>
      <c r="AU63" s="189">
        <f t="shared" ref="AU63" si="181">AP63</f>
        <v>0.51077545058333174</v>
      </c>
      <c r="AV63" s="188">
        <f>AV62/AV45</f>
        <v>0.51146083183627311</v>
      </c>
    </row>
    <row r="64" spans="2:48" outlineLevel="1" x14ac:dyDescent="0.3">
      <c r="B64" s="180" t="s">
        <v>33</v>
      </c>
      <c r="C64" s="18"/>
      <c r="D64" s="48">
        <v>44.5</v>
      </c>
      <c r="E64" s="48">
        <v>39.4</v>
      </c>
      <c r="F64" s="48">
        <v>41.7</v>
      </c>
      <c r="G64" s="48">
        <v>34.200000000000003</v>
      </c>
      <c r="H64" s="49"/>
      <c r="I64" s="48">
        <v>42.5</v>
      </c>
      <c r="J64" s="48">
        <v>41.8</v>
      </c>
      <c r="K64" s="48">
        <v>40.700000000000003</v>
      </c>
      <c r="L64" s="48">
        <v>38</v>
      </c>
      <c r="M64" s="49"/>
      <c r="N64" s="48">
        <v>42.8</v>
      </c>
      <c r="O64" s="48">
        <v>41.9</v>
      </c>
      <c r="P64" s="48">
        <v>39.700000000000003</v>
      </c>
      <c r="Q64" s="105">
        <v>47.3</v>
      </c>
      <c r="R64" s="49"/>
      <c r="S64" s="48">
        <v>48.2</v>
      </c>
      <c r="T64" s="48">
        <v>47.1</v>
      </c>
      <c r="U64" s="48">
        <v>55.4</v>
      </c>
      <c r="V64" s="48">
        <f t="shared" ref="V64" si="182">V59*V65</f>
        <v>53.533280907647139</v>
      </c>
      <c r="W64" s="49">
        <f>SUM(S64:V64)</f>
        <v>204.23328090764716</v>
      </c>
      <c r="X64" s="48">
        <f>X59*X65</f>
        <v>53.162557130754159</v>
      </c>
      <c r="Y64" s="48">
        <f>Y59*Y65</f>
        <v>52.0524501954458</v>
      </c>
      <c r="Z64" s="48">
        <f t="shared" ref="Z64:AA64" si="183">Z59*Z65</f>
        <v>59.899395124145947</v>
      </c>
      <c r="AA64" s="48">
        <f t="shared" si="183"/>
        <v>57.704129516180721</v>
      </c>
      <c r="AB64" s="49">
        <f>SUM(X64:AA64)</f>
        <v>222.81853196652662</v>
      </c>
      <c r="AC64" s="48">
        <f>AC59*AC65</f>
        <v>57.256060059615379</v>
      </c>
      <c r="AD64" s="48">
        <f>AD59*AD65</f>
        <v>56.120237192919291</v>
      </c>
      <c r="AE64" s="48">
        <f t="shared" ref="AE64:AF64" si="184">AE59*AE65</f>
        <v>64.642719774532324</v>
      </c>
      <c r="AF64" s="48">
        <f t="shared" si="184"/>
        <v>62.336729748622339</v>
      </c>
      <c r="AG64" s="49">
        <f>SUM(AC64:AF64)</f>
        <v>240.35574677568931</v>
      </c>
      <c r="AH64" s="48">
        <f>AH59*AH65</f>
        <v>63.105694451848315</v>
      </c>
      <c r="AI64" s="48">
        <f>AI59*AI65</f>
        <v>61.928299934996467</v>
      </c>
      <c r="AJ64" s="48">
        <f t="shared" ref="AJ64:AK64" si="185">AJ59*AJ65</f>
        <v>71.403943347064839</v>
      </c>
      <c r="AK64" s="48">
        <f t="shared" si="185"/>
        <v>68.922528007962214</v>
      </c>
      <c r="AL64" s="49">
        <f>SUM(AH64:AK64)</f>
        <v>265.36046574187185</v>
      </c>
      <c r="AM64" s="48">
        <f>AM59*AM65</f>
        <v>68.500129315975087</v>
      </c>
      <c r="AN64" s="48">
        <f>AN59*AN65</f>
        <v>67.204701859293579</v>
      </c>
      <c r="AO64" s="48">
        <f t="shared" ref="AO64:AP64" si="186">AO59*AO65</f>
        <v>77.467202642214787</v>
      </c>
      <c r="AP64" s="48">
        <f t="shared" si="186"/>
        <v>74.76075960220092</v>
      </c>
      <c r="AQ64" s="49">
        <f>SUM(AM64:AP64)</f>
        <v>287.93279341968434</v>
      </c>
      <c r="AR64" s="48">
        <f>AR59*AR65</f>
        <v>72.863023176636403</v>
      </c>
      <c r="AS64" s="48">
        <f>AS59*AS65</f>
        <v>71.461540562097852</v>
      </c>
      <c r="AT64" s="48">
        <f t="shared" ref="AT64:AU64" si="187">AT59*AT65</f>
        <v>82.36185513796751</v>
      </c>
      <c r="AU64" s="48">
        <f t="shared" si="187"/>
        <v>79.46984367850412</v>
      </c>
      <c r="AV64" s="49">
        <f>SUM(AR64:AU64)</f>
        <v>306.15626255520584</v>
      </c>
    </row>
    <row r="65" spans="2:48" s="184" customFormat="1" outlineLevel="1" x14ac:dyDescent="0.3">
      <c r="B65" s="181" t="s">
        <v>152</v>
      </c>
      <c r="C65" s="190"/>
      <c r="D65" s="187">
        <f>D64/D59</f>
        <v>9.6476964769647705E-3</v>
      </c>
      <c r="E65" s="187">
        <f t="shared" ref="E65:U65" si="188">E64/E59</f>
        <v>9.1328434667717479E-3</v>
      </c>
      <c r="F65" s="187">
        <f t="shared" si="188"/>
        <v>8.908162611352034E-3</v>
      </c>
      <c r="G65" s="187">
        <f t="shared" si="188"/>
        <v>7.352625016124179E-3</v>
      </c>
      <c r="H65" s="188"/>
      <c r="I65" s="187">
        <f t="shared" si="188"/>
        <v>8.4815103075295863E-3</v>
      </c>
      <c r="J65" s="187">
        <f t="shared" si="188"/>
        <v>9.6535796766743648E-3</v>
      </c>
      <c r="K65" s="187">
        <f t="shared" si="188"/>
        <v>1.4507217964712174E-2</v>
      </c>
      <c r="L65" s="187">
        <f t="shared" si="188"/>
        <v>9.017774508175324E-3</v>
      </c>
      <c r="M65" s="188"/>
      <c r="N65" s="187">
        <f t="shared" si="188"/>
        <v>9.1001871066507915E-3</v>
      </c>
      <c r="O65" s="187">
        <f t="shared" si="188"/>
        <v>8.982549414740814E-3</v>
      </c>
      <c r="P65" s="187">
        <f t="shared" si="188"/>
        <v>7.3514434383275002E-3</v>
      </c>
      <c r="Q65" s="167">
        <f t="shared" si="188"/>
        <v>8.2075307999305916E-3</v>
      </c>
      <c r="R65" s="188"/>
      <c r="S65" s="187">
        <f t="shared" si="188"/>
        <v>8.4084922282504412E-3</v>
      </c>
      <c r="T65" s="187">
        <f t="shared" si="188"/>
        <v>8.6490258368988378E-3</v>
      </c>
      <c r="U65" s="187">
        <f t="shared" si="188"/>
        <v>9.1443285355869534E-3</v>
      </c>
      <c r="V65" s="189">
        <v>8.9999999999999993E-3</v>
      </c>
      <c r="W65" s="188">
        <f t="shared" ref="W65" si="189">W64/W59</f>
        <v>8.8090279317011178E-3</v>
      </c>
      <c r="X65" s="189">
        <f>S65</f>
        <v>8.4084922282504412E-3</v>
      </c>
      <c r="Y65" s="189">
        <f t="shared" ref="Y65" si="190">T65</f>
        <v>8.6490258368988378E-3</v>
      </c>
      <c r="Z65" s="189">
        <f t="shared" ref="Z65" si="191">U65</f>
        <v>9.1443285355869534E-3</v>
      </c>
      <c r="AA65" s="189">
        <f t="shared" ref="AA65" si="192">V65</f>
        <v>8.9999999999999993E-3</v>
      </c>
      <c r="AB65" s="188">
        <f t="shared" ref="AB65" si="193">AB64/AB59</f>
        <v>8.8060826641130126E-3</v>
      </c>
      <c r="AC65" s="189">
        <f>X65</f>
        <v>8.4084922282504412E-3</v>
      </c>
      <c r="AD65" s="189">
        <f t="shared" ref="AD65" si="194">Y65</f>
        <v>8.6490258368988378E-3</v>
      </c>
      <c r="AE65" s="189">
        <f t="shared" ref="AE65" si="195">Z65</f>
        <v>9.1443285355869534E-3</v>
      </c>
      <c r="AF65" s="189">
        <f t="shared" ref="AF65" si="196">AA65</f>
        <v>8.9999999999999993E-3</v>
      </c>
      <c r="AG65" s="188">
        <f t="shared" ref="AG65" si="197">AG64/AG59</f>
        <v>8.8063700772517562E-3</v>
      </c>
      <c r="AH65" s="189">
        <f>AC65</f>
        <v>8.4084922282504412E-3</v>
      </c>
      <c r="AI65" s="189">
        <f t="shared" ref="AI65" si="198">AD65</f>
        <v>8.6490258368988378E-3</v>
      </c>
      <c r="AJ65" s="189">
        <f t="shared" ref="AJ65" si="199">AE65</f>
        <v>9.1443285355869534E-3</v>
      </c>
      <c r="AK65" s="189">
        <f t="shared" ref="AK65" si="200">AF65</f>
        <v>8.9999999999999993E-3</v>
      </c>
      <c r="AL65" s="188">
        <f t="shared" ref="AL65" si="201">AL64/AL59</f>
        <v>8.8066725945612854E-3</v>
      </c>
      <c r="AM65" s="189">
        <f>AH65</f>
        <v>8.4084922282504412E-3</v>
      </c>
      <c r="AN65" s="189">
        <f t="shared" ref="AN65" si="202">AI65</f>
        <v>8.6490258368988378E-3</v>
      </c>
      <c r="AO65" s="189">
        <f t="shared" ref="AO65" si="203">AJ65</f>
        <v>9.1443285355869534E-3</v>
      </c>
      <c r="AP65" s="189">
        <f t="shared" ref="AP65" si="204">AK65</f>
        <v>8.9999999999999993E-3</v>
      </c>
      <c r="AQ65" s="188">
        <f t="shared" ref="AQ65" si="205">AQ64/AQ59</f>
        <v>8.8066014014564591E-3</v>
      </c>
      <c r="AR65" s="189">
        <f>AM65</f>
        <v>8.4084922282504412E-3</v>
      </c>
      <c r="AS65" s="189">
        <f t="shared" ref="AS65" si="206">AN65</f>
        <v>8.6490258368988378E-3</v>
      </c>
      <c r="AT65" s="189">
        <f t="shared" ref="AT65" si="207">AO65</f>
        <v>9.1443285355869534E-3</v>
      </c>
      <c r="AU65" s="189">
        <f t="shared" ref="AU65" si="208">AP65</f>
        <v>8.9999999999999993E-3</v>
      </c>
      <c r="AV65" s="188">
        <f t="shared" ref="AV65" si="209">AV64/AV59</f>
        <v>8.8065394274027976E-3</v>
      </c>
    </row>
    <row r="66" spans="2:48" outlineLevel="1" x14ac:dyDescent="0.3">
      <c r="B66" s="180" t="s">
        <v>34</v>
      </c>
      <c r="C66" s="18"/>
      <c r="D66" s="358">
        <v>166.9</v>
      </c>
      <c r="E66" s="358">
        <v>173</v>
      </c>
      <c r="F66" s="358">
        <v>175.6</v>
      </c>
      <c r="G66" s="358">
        <v>180.6</v>
      </c>
      <c r="H66" s="130"/>
      <c r="I66" s="358">
        <v>189.2</v>
      </c>
      <c r="J66" s="358">
        <v>191.5</v>
      </c>
      <c r="K66" s="358">
        <v>191.3</v>
      </c>
      <c r="L66" s="358">
        <v>190.1</v>
      </c>
      <c r="M66" s="359"/>
      <c r="N66" s="358">
        <v>188.9</v>
      </c>
      <c r="O66" s="358">
        <v>186</v>
      </c>
      <c r="P66" s="358">
        <v>188.9</v>
      </c>
      <c r="Q66" s="358">
        <v>189.9</v>
      </c>
      <c r="R66" s="170"/>
      <c r="S66" s="358">
        <v>200</v>
      </c>
      <c r="T66" s="358">
        <v>202</v>
      </c>
      <c r="U66" s="358">
        <v>201.2</v>
      </c>
      <c r="V66" s="358">
        <f>(U66/(U66+U99+U114+U127))*'Cash Flow Statement'!V7*0.95</f>
        <v>208.17665687257025</v>
      </c>
      <c r="W66" s="170">
        <f t="shared" ref="W66:W67" si="210">SUM(S66:V66)</f>
        <v>811.37665687257027</v>
      </c>
      <c r="X66" s="358">
        <f>(V66/(V66+V99+V114+V127))*'Cash Flow Statement'!X7*0.95</f>
        <v>211.63336018905395</v>
      </c>
      <c r="Y66" s="358">
        <f>(X66/(X66+X99+X114+X127))*'Cash Flow Statement'!Y7*0.95</f>
        <v>220.6968361958499</v>
      </c>
      <c r="Z66" s="358">
        <f>(Y66/(Y66+Y99+Y114+Y127))*'Cash Flow Statement'!Z7*0.95</f>
        <v>228.26135584994856</v>
      </c>
      <c r="AA66" s="358">
        <f>(Z66/(Z66+Z99+Z114+Z127))*'Cash Flow Statement'!AA7*0.95</f>
        <v>237.38303634773175</v>
      </c>
      <c r="AB66" s="170">
        <f t="shared" ref="AB66:AB67" si="211">SUM(X66:AA66)</f>
        <v>897.97458858258415</v>
      </c>
      <c r="AC66" s="358">
        <f>(AA66/(AA66+AA99+AA114+AA127))*'Cash Flow Statement'!AC7*0.95</f>
        <v>246.6202576488075</v>
      </c>
      <c r="AD66" s="358">
        <f>(AC66/(AC66+AC99+AC114+AC127))*'Cash Flow Statement'!AD7*0.95</f>
        <v>253.77929516857887</v>
      </c>
      <c r="AE66" s="358">
        <f>(AD66/(AD66+AD99+AD114+AD127))*'Cash Flow Statement'!AE7*0.95</f>
        <v>259.25354839469531</v>
      </c>
      <c r="AF66" s="358">
        <f>(AE66/(AE66+AE99+AE114+AE127))*'Cash Flow Statement'!AF7*0.95</f>
        <v>266.42328526001182</v>
      </c>
      <c r="AG66" s="170">
        <f t="shared" ref="AG66:AG67" si="212">SUM(AC66:AF66)</f>
        <v>1026.0763864720936</v>
      </c>
      <c r="AH66" s="358">
        <f>(AF66/(AF66+AF99+AF114+AF127))*'Cash Flow Statement'!AH7*0.95</f>
        <v>273.76965454916007</v>
      </c>
      <c r="AI66" s="358">
        <f>(AH66/(AH66+AH99+AH114+AH127))*'Cash Flow Statement'!AI7*0.95</f>
        <v>279.25569289082978</v>
      </c>
      <c r="AJ66" s="358">
        <f>(AI66/(AI66+AI99+AI114+AI127))*'Cash Flow Statement'!AJ7*0.95</f>
        <v>283.18181335783379</v>
      </c>
      <c r="AK66" s="358">
        <f>(AJ66/(AJ66+AJ99+AJ114+AJ127))*'Cash Flow Statement'!AK7*0.95</f>
        <v>288.89560288592685</v>
      </c>
      <c r="AL66" s="170">
        <f t="shared" ref="AL66:AL67" si="213">SUM(AH66:AK66)</f>
        <v>1125.1027636837505</v>
      </c>
      <c r="AM66" s="358">
        <f>(AK66/(AK66+AK99+AK114+AK127))*'Cash Flow Statement'!AM7*0.95</f>
        <v>294.90464360603869</v>
      </c>
      <c r="AN66" s="358">
        <f>(AM66/(AM66+AM99+AM114+AM127))*'Cash Flow Statement'!AN7*0.95</f>
        <v>301.32056521892156</v>
      </c>
      <c r="AO66" s="358">
        <f>(AN66/(AN66+AN99+AN114+AN127))*'Cash Flow Statement'!AO7*0.95</f>
        <v>305.88617301473738</v>
      </c>
      <c r="AP66" s="358">
        <f>(AO66/(AO66+AO99+AO114+AO127))*'Cash Flow Statement'!AP7*0.95</f>
        <v>312.29527495623836</v>
      </c>
      <c r="AQ66" s="170">
        <f t="shared" ref="AQ66:AQ67" si="214">SUM(AM66:AP66)</f>
        <v>1214.4066567959358</v>
      </c>
      <c r="AR66" s="358">
        <f>(AP66/(AP66+AP99+AP114+AP127))*'Cash Flow Statement'!AR7*0.95</f>
        <v>318.93637193993783</v>
      </c>
      <c r="AS66" s="358">
        <f>(AR66/(AR66+AR99+AR114+AR127))*'Cash Flow Statement'!AS7*0.95</f>
        <v>325.47565273286807</v>
      </c>
      <c r="AT66" s="358">
        <f>(AS66/(AS66+AS99+AS114+AS127))*'Cash Flow Statement'!AT7*0.95</f>
        <v>330.04475591345675</v>
      </c>
      <c r="AU66" s="358">
        <f>(AT66/(AT66+AT99+AT114+AT127))*'Cash Flow Statement'!AU7*0.95</f>
        <v>336.58678537324772</v>
      </c>
      <c r="AV66" s="170">
        <f t="shared" ref="AV66:AV67" si="215">SUM(AR66:AU66)</f>
        <v>1311.0435659595105</v>
      </c>
    </row>
    <row r="67" spans="2:48" outlineLevel="1" x14ac:dyDescent="0.3">
      <c r="B67" s="180" t="s">
        <v>35</v>
      </c>
      <c r="C67" s="18"/>
      <c r="D67" s="48">
        <v>75.099999999999994</v>
      </c>
      <c r="E67" s="48">
        <v>70.900000000000006</v>
      </c>
      <c r="F67" s="48">
        <v>72</v>
      </c>
      <c r="G67" s="48">
        <v>106</v>
      </c>
      <c r="H67" s="49"/>
      <c r="I67" s="48">
        <v>72.400000000000006</v>
      </c>
      <c r="J67" s="48">
        <v>68.2</v>
      </c>
      <c r="K67" s="48">
        <v>62.2</v>
      </c>
      <c r="L67" s="48">
        <v>65.2</v>
      </c>
      <c r="M67" s="165"/>
      <c r="N67" s="48">
        <v>70.8</v>
      </c>
      <c r="O67" s="48">
        <v>77.7</v>
      </c>
      <c r="P67" s="48">
        <v>73.2</v>
      </c>
      <c r="Q67" s="105">
        <v>78.400000000000006</v>
      </c>
      <c r="R67" s="49"/>
      <c r="S67" s="48">
        <v>76.7</v>
      </c>
      <c r="T67" s="48">
        <v>71.3</v>
      </c>
      <c r="U67" s="48">
        <v>76.5</v>
      </c>
      <c r="V67" s="48">
        <f t="shared" ref="V67" si="216">V68*V59</f>
        <v>155.27045995612178</v>
      </c>
      <c r="W67" s="49">
        <f t="shared" si="210"/>
        <v>379.77045995612178</v>
      </c>
      <c r="X67" s="48">
        <f>X68*X59</f>
        <v>116.20926894464634</v>
      </c>
      <c r="Y67" s="48">
        <f>Y68*Y59</f>
        <v>93.842776412072908</v>
      </c>
      <c r="Z67" s="48">
        <f t="shared" ref="Z67:AA67" si="217">Z68*Z59</f>
        <v>99.089169053203605</v>
      </c>
      <c r="AA67" s="48">
        <f t="shared" si="217"/>
        <v>103.25208707025553</v>
      </c>
      <c r="AB67" s="49">
        <f t="shared" si="211"/>
        <v>412.39330148017837</v>
      </c>
      <c r="AC67" s="48">
        <f>AC68*AC59</f>
        <v>104.72941146746817</v>
      </c>
      <c r="AD67" s="48">
        <f>AD68*AD59</f>
        <v>114.15362637838234</v>
      </c>
      <c r="AE67" s="48">
        <f t="shared" ref="AE67:AF67" si="218">AE68*AE59</f>
        <v>99.866701136728594</v>
      </c>
      <c r="AF67" s="48">
        <f t="shared" si="218"/>
        <v>104.61506299967142</v>
      </c>
      <c r="AG67" s="49">
        <f t="shared" si="212"/>
        <v>423.36480198225053</v>
      </c>
      <c r="AH67" s="48">
        <f>AH68*AH59</f>
        <v>107.92422275442107</v>
      </c>
      <c r="AI67" s="48">
        <f>AI68*AI59</f>
        <v>118.80760266902939</v>
      </c>
      <c r="AJ67" s="48">
        <f t="shared" ref="AJ67:AK67" si="219">AJ68*AJ59</f>
        <v>102.50358287432111</v>
      </c>
      <c r="AK67" s="48">
        <f t="shared" si="219"/>
        <v>108.00945611427655</v>
      </c>
      <c r="AL67" s="49">
        <f t="shared" si="213"/>
        <v>437.24486441204812</v>
      </c>
      <c r="AM67" s="48">
        <f>AM68*AM59</f>
        <v>117.14985912475628</v>
      </c>
      <c r="AN67" s="48">
        <f>AN68*AN59</f>
        <v>128.93022292506743</v>
      </c>
      <c r="AO67" s="48">
        <f t="shared" ref="AO67:AP67" si="220">AO68*AO59</f>
        <v>111.20766520529294</v>
      </c>
      <c r="AP67" s="48">
        <f t="shared" si="220"/>
        <v>117.15863037396215</v>
      </c>
      <c r="AQ67" s="49">
        <f t="shared" si="214"/>
        <v>474.44637762907882</v>
      </c>
      <c r="AR67" s="48">
        <f>AR68*AR59</f>
        <v>124.61133994612956</v>
      </c>
      <c r="AS67" s="48">
        <f>AS68*AS59</f>
        <v>137.09684144615997</v>
      </c>
      <c r="AT67" s="48">
        <f t="shared" ref="AT67:AU67" si="221">AT68*AT59</f>
        <v>118.23415974076619</v>
      </c>
      <c r="AU67" s="48">
        <f t="shared" si="221"/>
        <v>124.53830179023915</v>
      </c>
      <c r="AV67" s="49">
        <f t="shared" si="215"/>
        <v>504.48064292329485</v>
      </c>
    </row>
    <row r="68" spans="2:48" s="184" customFormat="1" outlineLevel="1" x14ac:dyDescent="0.3">
      <c r="B68" s="181" t="s">
        <v>153</v>
      </c>
      <c r="C68" s="190"/>
      <c r="D68" s="187">
        <f>D67/D59</f>
        <v>1.6281842818428184E-2</v>
      </c>
      <c r="E68" s="187">
        <f t="shared" ref="E68:Q68" si="222">E67/E59</f>
        <v>1.6434482279038501E-2</v>
      </c>
      <c r="F68" s="187">
        <f t="shared" si="222"/>
        <v>1.5381000192262503E-2</v>
      </c>
      <c r="G68" s="187">
        <f t="shared" si="222"/>
        <v>2.2788837769273769E-2</v>
      </c>
      <c r="H68" s="188"/>
      <c r="I68" s="187">
        <f t="shared" si="222"/>
        <v>1.4448502265062167E-2</v>
      </c>
      <c r="J68" s="187">
        <f t="shared" si="222"/>
        <v>1.5750577367205542E-2</v>
      </c>
      <c r="K68" s="187">
        <f t="shared" si="222"/>
        <v>2.2170736054179293E-2</v>
      </c>
      <c r="L68" s="187">
        <f t="shared" si="222"/>
        <v>1.5472602577185029E-2</v>
      </c>
      <c r="M68" s="188"/>
      <c r="N68" s="187">
        <f t="shared" si="222"/>
        <v>1.5053580540908319E-2</v>
      </c>
      <c r="O68" s="187">
        <f t="shared" si="222"/>
        <v>1.6657376838314114E-2</v>
      </c>
      <c r="P68" s="187">
        <f t="shared" si="222"/>
        <v>1.3554802510971613E-2</v>
      </c>
      <c r="Q68" s="167">
        <f t="shared" si="222"/>
        <v>1.3604025681068889E-2</v>
      </c>
      <c r="R68" s="188"/>
      <c r="S68" s="187">
        <f t="shared" ref="S68:U68" si="223">S67/S59</f>
        <v>1.3380318545784415E-2</v>
      </c>
      <c r="T68" s="187">
        <f t="shared" si="223"/>
        <v>1.3092898984519897E-2</v>
      </c>
      <c r="U68" s="187">
        <f t="shared" si="223"/>
        <v>1.2627096263039747E-2</v>
      </c>
      <c r="V68" s="189">
        <f>Q68+1.25%</f>
        <v>2.6104025681068892E-2</v>
      </c>
      <c r="W68" s="188">
        <f t="shared" ref="W68" si="224">W67/W59</f>
        <v>1.638033025039258E-2</v>
      </c>
      <c r="X68" s="189">
        <f>S68+0.5%</f>
        <v>1.8380318545784414E-2</v>
      </c>
      <c r="Y68" s="189">
        <f>T68+0.25%</f>
        <v>1.5592898984519897E-2</v>
      </c>
      <c r="Z68" s="189">
        <f>U68+0.25%</f>
        <v>1.5127096263039748E-2</v>
      </c>
      <c r="AA68" s="189">
        <f>V68-1%</f>
        <v>1.610402568106889E-2</v>
      </c>
      <c r="AB68" s="188">
        <f t="shared" ref="AB68" si="225">AB67/AB59</f>
        <v>1.6298327930400733E-2</v>
      </c>
      <c r="AC68" s="189">
        <f>X68-0.3%</f>
        <v>1.5380318545784415E-2</v>
      </c>
      <c r="AD68" s="189">
        <f>Y68+0.2%</f>
        <v>1.7592898984519899E-2</v>
      </c>
      <c r="AE68" s="189">
        <f>Z68-0.1%</f>
        <v>1.4127096263039748E-2</v>
      </c>
      <c r="AF68" s="189">
        <f>AA68-0.1%</f>
        <v>1.5104025681068889E-2</v>
      </c>
      <c r="AG68" s="188">
        <f t="shared" ref="AG68" si="226">AG67/AG59</f>
        <v>1.5511620479029065E-2</v>
      </c>
      <c r="AH68" s="189">
        <f t="shared" ref="AH68" si="227">AC68-0.1%</f>
        <v>1.4380318545784414E-2</v>
      </c>
      <c r="AI68" s="189">
        <f t="shared" ref="AI68" si="228">AD68-0.1%</f>
        <v>1.6592898984519898E-2</v>
      </c>
      <c r="AJ68" s="189">
        <f t="shared" ref="AJ68" si="229">AE68-0.1%</f>
        <v>1.3127096263039748E-2</v>
      </c>
      <c r="AK68" s="189">
        <f t="shared" ref="AK68" si="230">AF68-0.1%</f>
        <v>1.4104025681068888E-2</v>
      </c>
      <c r="AL68" s="188">
        <f t="shared" ref="AL68" si="231">AL67/AL59</f>
        <v>1.4511100414920031E-2</v>
      </c>
      <c r="AM68" s="189">
        <f>AH68</f>
        <v>1.4380318545784414E-2</v>
      </c>
      <c r="AN68" s="189">
        <f t="shared" ref="AN68" si="232">AI68</f>
        <v>1.6592898984519898E-2</v>
      </c>
      <c r="AO68" s="189">
        <f t="shared" ref="AO68" si="233">AJ68</f>
        <v>1.3127096263039748E-2</v>
      </c>
      <c r="AP68" s="189">
        <f t="shared" ref="AP68" si="234">AK68</f>
        <v>1.4104025681068888E-2</v>
      </c>
      <c r="AQ68" s="188">
        <f t="shared" ref="AQ68" si="235">AQ67/AQ59</f>
        <v>1.4511233974151905E-2</v>
      </c>
      <c r="AR68" s="189">
        <f>AM68</f>
        <v>1.4380318545784414E-2</v>
      </c>
      <c r="AS68" s="189">
        <f t="shared" ref="AS68" si="236">AN68</f>
        <v>1.6592898984519898E-2</v>
      </c>
      <c r="AT68" s="189">
        <f t="shared" ref="AT68" si="237">AO68</f>
        <v>1.3127096263039748E-2</v>
      </c>
      <c r="AU68" s="189">
        <f t="shared" ref="AU68" si="238">AP68</f>
        <v>1.4104025681068888E-2</v>
      </c>
      <c r="AV68" s="188">
        <f t="shared" ref="AV68" si="239">AV67/AV59</f>
        <v>1.4511310777006885E-2</v>
      </c>
    </row>
    <row r="69" spans="2:48" ht="16.2" outlineLevel="1" x14ac:dyDescent="0.45">
      <c r="B69" s="180" t="s">
        <v>42</v>
      </c>
      <c r="C69" s="18"/>
      <c r="D69" s="119">
        <v>22.9</v>
      </c>
      <c r="E69" s="119">
        <v>18.2</v>
      </c>
      <c r="F69" s="119">
        <v>15.1</v>
      </c>
      <c r="G69" s="119">
        <v>0.7</v>
      </c>
      <c r="H69" s="131"/>
      <c r="I69" s="119">
        <v>5.2</v>
      </c>
      <c r="J69" s="119">
        <v>0.5</v>
      </c>
      <c r="K69" s="119">
        <v>56.2</v>
      </c>
      <c r="L69" s="119">
        <v>195.6</v>
      </c>
      <c r="M69" s="357"/>
      <c r="N69" s="119">
        <v>72.2</v>
      </c>
      <c r="O69" s="119">
        <v>23</v>
      </c>
      <c r="P69" s="119">
        <v>19.8</v>
      </c>
      <c r="Q69" s="119">
        <v>40.5</v>
      </c>
      <c r="R69" s="173"/>
      <c r="S69" s="119">
        <v>-7.5</v>
      </c>
      <c r="T69" s="119">
        <v>4.4000000000000004</v>
      </c>
      <c r="U69" s="119">
        <v>12</v>
      </c>
      <c r="V69" s="119">
        <f>IFERROR((V163*(U69/U163)),0)</f>
        <v>42.857142857142854</v>
      </c>
      <c r="W69" s="173">
        <f>SUM(S69:V69)</f>
        <v>51.757142857142853</v>
      </c>
      <c r="X69" s="119">
        <f>IFERROR((X163*(V69/V163)),0)</f>
        <v>42.857142857142854</v>
      </c>
      <c r="Y69" s="119">
        <f t="shared" ref="Y69:AA69" si="240">IFERROR((Y163*(X69/X163)),0)</f>
        <v>0</v>
      </c>
      <c r="Z69" s="119">
        <f t="shared" si="240"/>
        <v>0</v>
      </c>
      <c r="AA69" s="119">
        <f t="shared" si="240"/>
        <v>0</v>
      </c>
      <c r="AB69" s="173">
        <f>SUM(X69:AA69)</f>
        <v>42.857142857142854</v>
      </c>
      <c r="AC69" s="119">
        <f>IFERROR((AC163*(AA69/AA163)),0)</f>
        <v>0</v>
      </c>
      <c r="AD69" s="119">
        <f t="shared" ref="AD69:AF69" si="241">IFERROR((AD163*(AC69/AC163)),0)</f>
        <v>0</v>
      </c>
      <c r="AE69" s="119">
        <f t="shared" si="241"/>
        <v>0</v>
      </c>
      <c r="AF69" s="119">
        <f t="shared" si="241"/>
        <v>0</v>
      </c>
      <c r="AG69" s="173">
        <f>SUM(AC69:AF69)</f>
        <v>0</v>
      </c>
      <c r="AH69" s="119">
        <f>IFERROR((AH163*(AF69/AF163)),0)</f>
        <v>0</v>
      </c>
      <c r="AI69" s="119">
        <f t="shared" ref="AI69:AK69" si="242">IFERROR((AI163*(AH69/AH163)),0)</f>
        <v>0</v>
      </c>
      <c r="AJ69" s="119">
        <f t="shared" si="242"/>
        <v>0</v>
      </c>
      <c r="AK69" s="119">
        <f t="shared" si="242"/>
        <v>0</v>
      </c>
      <c r="AL69" s="173">
        <f>SUM(AH69:AK69)</f>
        <v>0</v>
      </c>
      <c r="AM69" s="119">
        <f>IFERROR((AM163*(AK69/AK163)),0)</f>
        <v>0</v>
      </c>
      <c r="AN69" s="119">
        <f t="shared" ref="AN69:AP69" si="243">IFERROR((AN163*(AM69/AM163)),0)</f>
        <v>0</v>
      </c>
      <c r="AO69" s="119">
        <f t="shared" si="243"/>
        <v>0</v>
      </c>
      <c r="AP69" s="119">
        <f t="shared" si="243"/>
        <v>0</v>
      </c>
      <c r="AQ69" s="173">
        <f>SUM(AM69:AP69)</f>
        <v>0</v>
      </c>
      <c r="AR69" s="119">
        <f>IFERROR((AR163*(AP69/AP163)),0)</f>
        <v>0</v>
      </c>
      <c r="AS69" s="119">
        <f t="shared" ref="AS69:AU69" si="244">IFERROR((AS163*(AR69/AR163)),0)</f>
        <v>0</v>
      </c>
      <c r="AT69" s="119">
        <f t="shared" si="244"/>
        <v>0</v>
      </c>
      <c r="AU69" s="119">
        <f t="shared" si="244"/>
        <v>0</v>
      </c>
      <c r="AV69" s="173">
        <f>SUM(AR69:AU69)</f>
        <v>0</v>
      </c>
    </row>
    <row r="70" spans="2:48" outlineLevel="1" x14ac:dyDescent="0.3">
      <c r="B70" s="46" t="s">
        <v>183</v>
      </c>
      <c r="C70" s="19"/>
      <c r="D70" s="103">
        <f>+D60+D62+D64+D66+D67+D69</f>
        <v>3643.7999999999997</v>
      </c>
      <c r="E70" s="103">
        <f t="shared" ref="E70:G70" si="245">+E60+E62+E64+E66+E67+E69</f>
        <v>3457.7</v>
      </c>
      <c r="F70" s="103">
        <f t="shared" si="245"/>
        <v>3662.3999999999996</v>
      </c>
      <c r="G70" s="103">
        <f t="shared" si="245"/>
        <v>3712.4999999999995</v>
      </c>
      <c r="H70" s="166">
        <f>+H60+H62+H64+H66+H67+H69</f>
        <v>0</v>
      </c>
      <c r="I70" s="103">
        <f t="shared" ref="I70:L70" si="246">+I60+I62+I64+I66+I67+I69</f>
        <v>3912.1</v>
      </c>
      <c r="J70" s="103">
        <f t="shared" si="246"/>
        <v>3708.8</v>
      </c>
      <c r="K70" s="103">
        <f t="shared" si="246"/>
        <v>3210.3999999999996</v>
      </c>
      <c r="L70" s="50">
        <f t="shared" si="246"/>
        <v>3707.8999999999996</v>
      </c>
      <c r="M70" s="191"/>
      <c r="N70" s="50">
        <f t="shared" ref="N70:Q70" si="247">+N60+N62+N64+N66+N67+N69</f>
        <v>3889.7000000000003</v>
      </c>
      <c r="O70" s="50">
        <f t="shared" si="247"/>
        <v>3759.2999999999997</v>
      </c>
      <c r="P70" s="50">
        <f t="shared" si="247"/>
        <v>4084.6</v>
      </c>
      <c r="Q70" s="103">
        <f t="shared" si="247"/>
        <v>4507.2</v>
      </c>
      <c r="R70" s="191"/>
      <c r="S70" s="50">
        <f>+S60+S62+S64+S66+S67+S69</f>
        <v>4649.2</v>
      </c>
      <c r="T70" s="50">
        <f t="shared" ref="T70:AK70" si="248">+T60+T62+T64+T66+T67+T69</f>
        <v>4514.2</v>
      </c>
      <c r="U70" s="50">
        <f t="shared" si="248"/>
        <v>4728.2999999999993</v>
      </c>
      <c r="V70" s="50">
        <f>+V60+V62+V64+V66+V67+V69</f>
        <v>4892.2388743154106</v>
      </c>
      <c r="W70" s="191">
        <f>+W60+W62+W64+W66+W67+W69</f>
        <v>18783.938874315409</v>
      </c>
      <c r="X70" s="50">
        <f t="shared" si="248"/>
        <v>5259.4847353509904</v>
      </c>
      <c r="Y70" s="50">
        <f t="shared" si="248"/>
        <v>5020.5373925704534</v>
      </c>
      <c r="Z70" s="50">
        <f t="shared" si="248"/>
        <v>5201.8203701811171</v>
      </c>
      <c r="AA70" s="50">
        <f t="shared" si="248"/>
        <v>5109.4986843892984</v>
      </c>
      <c r="AB70" s="191">
        <f>+AB60+AB62+AB64+AB66+AB67+AB69</f>
        <v>20591.341182491851</v>
      </c>
      <c r="AC70" s="50">
        <f t="shared" si="248"/>
        <v>5482.3544311026226</v>
      </c>
      <c r="AD70" s="50">
        <f t="shared" si="248"/>
        <v>5424.8127519412246</v>
      </c>
      <c r="AE70" s="50">
        <f t="shared" si="248"/>
        <v>5601.5942841094338</v>
      </c>
      <c r="AF70" s="50">
        <f t="shared" si="248"/>
        <v>5650.7045170295441</v>
      </c>
      <c r="AG70" s="191">
        <f>+AG60+AG62+AG64+AG66+AG67+AG69</f>
        <v>22159.465984182825</v>
      </c>
      <c r="AH70" s="50">
        <f t="shared" si="248"/>
        <v>6017.2787774582812</v>
      </c>
      <c r="AI70" s="50">
        <f t="shared" si="248"/>
        <v>5959.0811640759521</v>
      </c>
      <c r="AJ70" s="50">
        <f t="shared" si="248"/>
        <v>6156.0850833576133</v>
      </c>
      <c r="AK70" s="50">
        <f t="shared" si="248"/>
        <v>6214.1966692663655</v>
      </c>
      <c r="AL70" s="191">
        <f>+AL60+AL62+AL64+AL66+AL67+AL69</f>
        <v>24346.64169415821</v>
      </c>
      <c r="AM70" s="50">
        <f t="shared" ref="AM70:AP70" si="249">+AM60+AM62+AM64+AM66+AM67+AM69</f>
        <v>6524.8471904766475</v>
      </c>
      <c r="AN70" s="50">
        <f t="shared" si="249"/>
        <v>6463.9712410216134</v>
      </c>
      <c r="AO70" s="50">
        <f t="shared" si="249"/>
        <v>6679.7662939615593</v>
      </c>
      <c r="AP70" s="50">
        <f t="shared" si="249"/>
        <v>6744.9922479079878</v>
      </c>
      <c r="AQ70" s="191">
        <f>+AQ60+AQ62+AQ64+AQ66+AQ67+AQ69</f>
        <v>26413.576973367806</v>
      </c>
      <c r="AR70" s="50">
        <f t="shared" ref="AR70:AU70" si="250">+AR60+AR62+AR64+AR66+AR67+AR69</f>
        <v>6953.3706441778231</v>
      </c>
      <c r="AS70" s="50">
        <f t="shared" si="250"/>
        <v>6886.2393124695263</v>
      </c>
      <c r="AT70" s="50">
        <f t="shared" si="250"/>
        <v>7113.9789122982984</v>
      </c>
      <c r="AU70" s="50">
        <f t="shared" si="250"/>
        <v>7181.5651383312206</v>
      </c>
      <c r="AV70" s="191">
        <f>+AV60+AV62+AV64+AV66+AV67+AV69</f>
        <v>28135.154007276869</v>
      </c>
    </row>
    <row r="71" spans="2:48" outlineLevel="1" x14ac:dyDescent="0.3">
      <c r="B71" s="46" t="s">
        <v>184</v>
      </c>
      <c r="C71" s="44"/>
      <c r="D71" s="156">
        <f t="shared" ref="D71:G71" si="251">+D59-D70</f>
        <v>968.70000000000027</v>
      </c>
      <c r="E71" s="156">
        <f t="shared" si="251"/>
        <v>856.40000000000055</v>
      </c>
      <c r="F71" s="156">
        <f t="shared" si="251"/>
        <v>1018.6999999999998</v>
      </c>
      <c r="G71" s="156">
        <f t="shared" si="251"/>
        <v>938.90000000000009</v>
      </c>
      <c r="H71" s="132">
        <f>SUM(D71:G71)</f>
        <v>3782.7000000000007</v>
      </c>
      <c r="I71" s="156">
        <f t="shared" ref="I71:L71" si="252">+I59-I70</f>
        <v>1098.7999999999997</v>
      </c>
      <c r="J71" s="156">
        <f t="shared" si="252"/>
        <v>621.19999999999982</v>
      </c>
      <c r="K71" s="156">
        <f t="shared" si="252"/>
        <v>-404.89999999999964</v>
      </c>
      <c r="L71" s="74">
        <f t="shared" si="252"/>
        <v>506.00000000000091</v>
      </c>
      <c r="M71" s="97"/>
      <c r="N71" s="74">
        <f>+N59-N70</f>
        <v>813.49999999999955</v>
      </c>
      <c r="O71" s="74">
        <f t="shared" ref="O71:Q71" si="253">+O59-O70</f>
        <v>905.29999999999973</v>
      </c>
      <c r="P71" s="74">
        <f t="shared" si="253"/>
        <v>1315.7000000000003</v>
      </c>
      <c r="Q71" s="74">
        <f t="shared" si="253"/>
        <v>1255.8000000000002</v>
      </c>
      <c r="R71" s="97"/>
      <c r="S71" s="74">
        <f t="shared" ref="S71:U71" si="254">+S59-S70</f>
        <v>1083.1000000000004</v>
      </c>
      <c r="T71" s="74">
        <f t="shared" si="254"/>
        <v>931.5</v>
      </c>
      <c r="U71" s="74">
        <f t="shared" si="254"/>
        <v>1330.1000000000004</v>
      </c>
      <c r="V71" s="156">
        <f>+V59-V70</f>
        <v>1055.9034487564941</v>
      </c>
      <c r="W71" s="97">
        <f>SUM(S71:V71)</f>
        <v>4400.6034487564948</v>
      </c>
      <c r="X71" s="74">
        <f t="shared" ref="X71:AA71" si="255">+X59-X70</f>
        <v>1062.9992115498817</v>
      </c>
      <c r="Y71" s="74">
        <f t="shared" si="255"/>
        <v>997.76468873186514</v>
      </c>
      <c r="Z71" s="74">
        <f t="shared" si="255"/>
        <v>1348.6217854168217</v>
      </c>
      <c r="AA71" s="74">
        <f t="shared" si="255"/>
        <v>1302.0712618530042</v>
      </c>
      <c r="AB71" s="97">
        <f>SUM(X71:AA71)</f>
        <v>4711.4569475515727</v>
      </c>
      <c r="AC71" s="74">
        <f t="shared" ref="AC71:AF71" si="256">+AC59-AC70</f>
        <v>1326.9591182694357</v>
      </c>
      <c r="AD71" s="74">
        <f t="shared" si="256"/>
        <v>1063.8066892791694</v>
      </c>
      <c r="AE71" s="74">
        <f t="shared" si="256"/>
        <v>1467.5655260354515</v>
      </c>
      <c r="AF71" s="74">
        <f t="shared" si="256"/>
        <v>1275.5987883729385</v>
      </c>
      <c r="AG71" s="97">
        <f>SUM(AC71:AF71)</f>
        <v>5133.9301219569952</v>
      </c>
      <c r="AH71" s="74">
        <f t="shared" ref="AH71:AK71" si="257">+AH59-AH70</f>
        <v>1487.7164986066582</v>
      </c>
      <c r="AI71" s="74">
        <f t="shared" si="257"/>
        <v>1201.0662447565373</v>
      </c>
      <c r="AJ71" s="74">
        <f t="shared" si="257"/>
        <v>1652.4645623798888</v>
      </c>
      <c r="AK71" s="74">
        <f t="shared" si="257"/>
        <v>1443.8619982849923</v>
      </c>
      <c r="AL71" s="97">
        <f>SUM(AH71:AK71)</f>
        <v>5785.1093040280766</v>
      </c>
      <c r="AM71" s="74">
        <f t="shared" ref="AM71:AP71" si="258">+AM59-AM70</f>
        <v>1621.6941223441818</v>
      </c>
      <c r="AN71" s="74">
        <f t="shared" si="258"/>
        <v>1306.2335342470715</v>
      </c>
      <c r="AO71" s="74">
        <f t="shared" si="258"/>
        <v>1791.8456281971785</v>
      </c>
      <c r="AP71" s="74">
        <f t="shared" si="258"/>
        <v>1561.7588190032266</v>
      </c>
      <c r="AQ71" s="97">
        <f>SUM(AM71:AP71)</f>
        <v>6281.5321037916583</v>
      </c>
      <c r="AR71" s="74">
        <f t="shared" ref="AR71:AU71" si="259">+AR59-AR70</f>
        <v>1712.0382304162194</v>
      </c>
      <c r="AS71" s="74">
        <f t="shared" si="259"/>
        <v>1376.1409728599065</v>
      </c>
      <c r="AT71" s="74">
        <f t="shared" si="259"/>
        <v>1892.8994842335142</v>
      </c>
      <c r="AU71" s="74">
        <f t="shared" si="259"/>
        <v>1648.417492613683</v>
      </c>
      <c r="AV71" s="97">
        <f>SUM(AR71:AU71)</f>
        <v>6629.496180123323</v>
      </c>
    </row>
    <row r="72" spans="2:48" outlineLevel="1" x14ac:dyDescent="0.3">
      <c r="B72" s="46" t="s">
        <v>185</v>
      </c>
      <c r="C72" s="44"/>
      <c r="D72" s="157">
        <f t="shared" ref="D72:G72" si="260">+D71/D59</f>
        <v>0.21001626016260169</v>
      </c>
      <c r="E72" s="157">
        <f t="shared" si="260"/>
        <v>0.19851185647064287</v>
      </c>
      <c r="F72" s="157">
        <f t="shared" si="260"/>
        <v>0.21761979022024736</v>
      </c>
      <c r="G72" s="157">
        <f t="shared" si="260"/>
        <v>0.20185320548652022</v>
      </c>
      <c r="H72" s="133">
        <f>H71/H59</f>
        <v>0.20716793270205</v>
      </c>
      <c r="I72" s="157">
        <f t="shared" ref="I72:L72" si="261">+I71/I59</f>
        <v>0.21928196531561192</v>
      </c>
      <c r="J72" s="157">
        <f t="shared" si="261"/>
        <v>0.14346420323325632</v>
      </c>
      <c r="K72" s="157">
        <f t="shared" si="261"/>
        <v>-0.14432364997326666</v>
      </c>
      <c r="L72" s="75">
        <f t="shared" si="261"/>
        <v>0.12007878687201899</v>
      </c>
      <c r="M72" s="98"/>
      <c r="N72" s="75">
        <f>+N71/N59</f>
        <v>0.17296734138458913</v>
      </c>
      <c r="O72" s="75">
        <f t="shared" ref="O72:Q72" si="262">+O71/O59</f>
        <v>0.19407880632851687</v>
      </c>
      <c r="P72" s="75">
        <f t="shared" si="262"/>
        <v>0.24363461289187641</v>
      </c>
      <c r="Q72" s="75">
        <f t="shared" si="262"/>
        <v>0.21790733992712133</v>
      </c>
      <c r="R72" s="98"/>
      <c r="S72" s="75">
        <f t="shared" ref="S72:V72" si="263">+S71/S59</f>
        <v>0.188946845070914</v>
      </c>
      <c r="T72" s="75">
        <f t="shared" si="263"/>
        <v>0.17105238995905026</v>
      </c>
      <c r="U72" s="75">
        <f t="shared" si="263"/>
        <v>0.21954641489502186</v>
      </c>
      <c r="V72" s="75">
        <f t="shared" si="263"/>
        <v>0.17751818826876609</v>
      </c>
      <c r="W72" s="98">
        <f>W71/W59</f>
        <v>0.1898076480197442</v>
      </c>
      <c r="X72" s="75">
        <f t="shared" ref="X72:AA72" si="264">+X71/X59</f>
        <v>0.16812999771568232</v>
      </c>
      <c r="Y72" s="75">
        <f t="shared" si="264"/>
        <v>0.16578840265126005</v>
      </c>
      <c r="Z72" s="75">
        <f t="shared" si="264"/>
        <v>0.20588255775441108</v>
      </c>
      <c r="AA72" s="75">
        <f t="shared" si="264"/>
        <v>0.2030815030905376</v>
      </c>
      <c r="AB72" s="98">
        <f>AB71/AB59</f>
        <v>0.18620300108063526</v>
      </c>
      <c r="AC72" s="75">
        <f t="shared" ref="AC72:AF72" si="265">+AC71/AC59</f>
        <v>0.19487413946326576</v>
      </c>
      <c r="AD72" s="75">
        <f t="shared" si="265"/>
        <v>0.16394961962495466</v>
      </c>
      <c r="AE72" s="75">
        <f t="shared" si="265"/>
        <v>0.20760112452534485</v>
      </c>
      <c r="AF72" s="75">
        <f t="shared" si="265"/>
        <v>0.18416733026663412</v>
      </c>
      <c r="AG72" s="98">
        <f>AG71/AG59</f>
        <v>0.18810155035276413</v>
      </c>
      <c r="AH72" s="75">
        <f t="shared" ref="AH72:AK72" si="266">+AH71/AH59</f>
        <v>0.19823017122359948</v>
      </c>
      <c r="AI72" s="75">
        <f t="shared" si="266"/>
        <v>0.16774322876019943</v>
      </c>
      <c r="AJ72" s="75">
        <f t="shared" si="266"/>
        <v>0.21162246990155581</v>
      </c>
      <c r="AK72" s="75">
        <f t="shared" si="266"/>
        <v>0.18854151697778296</v>
      </c>
      <c r="AL72" s="98">
        <f>AL71/AL59</f>
        <v>0.19199379765139762</v>
      </c>
      <c r="AM72" s="75">
        <f t="shared" ref="AM72:AP72" si="267">+AM71/AM59</f>
        <v>0.19906535302190131</v>
      </c>
      <c r="AN72" s="75">
        <f t="shared" si="267"/>
        <v>0.16810799355051789</v>
      </c>
      <c r="AO72" s="75">
        <f t="shared" si="267"/>
        <v>0.21151176950284334</v>
      </c>
      <c r="AP72" s="75">
        <f t="shared" si="267"/>
        <v>0.18801078862520332</v>
      </c>
      <c r="AQ72" s="98">
        <f>AQ71/AQ59</f>
        <v>0.1921245189599286</v>
      </c>
      <c r="AR72" s="75">
        <f t="shared" ref="AR72:AU72" si="268">+AR71/AR59</f>
        <v>0.19757154627010315</v>
      </c>
      <c r="AS72" s="75">
        <f t="shared" si="268"/>
        <v>0.16655502716370527</v>
      </c>
      <c r="AT72" s="75">
        <f t="shared" si="268"/>
        <v>0.21016154553195632</v>
      </c>
      <c r="AU72" s="75">
        <f t="shared" si="268"/>
        <v>0.18668411496493334</v>
      </c>
      <c r="AV72" s="98">
        <f>AV71/AV59</f>
        <v>0.19069647312389934</v>
      </c>
    </row>
    <row r="73" spans="2:48" ht="17.399999999999999" x14ac:dyDescent="0.45">
      <c r="B73" s="448" t="s">
        <v>114</v>
      </c>
      <c r="C73" s="449"/>
      <c r="D73" s="14" t="s">
        <v>19</v>
      </c>
      <c r="E73" s="14" t="s">
        <v>81</v>
      </c>
      <c r="F73" s="14" t="s">
        <v>85</v>
      </c>
      <c r="G73" s="14" t="s">
        <v>95</v>
      </c>
      <c r="H73" s="40" t="s">
        <v>96</v>
      </c>
      <c r="I73" s="14" t="s">
        <v>97</v>
      </c>
      <c r="J73" s="14" t="s">
        <v>98</v>
      </c>
      <c r="K73" s="14" t="s">
        <v>99</v>
      </c>
      <c r="L73" s="14" t="s">
        <v>142</v>
      </c>
      <c r="M73" s="40" t="s">
        <v>143</v>
      </c>
      <c r="N73" s="14" t="s">
        <v>149</v>
      </c>
      <c r="O73" s="14" t="s">
        <v>157</v>
      </c>
      <c r="P73" s="14" t="s">
        <v>159</v>
      </c>
      <c r="Q73" s="14" t="s">
        <v>172</v>
      </c>
      <c r="R73" s="40" t="s">
        <v>173</v>
      </c>
      <c r="S73" s="14" t="s">
        <v>188</v>
      </c>
      <c r="T73" s="14" t="s">
        <v>189</v>
      </c>
      <c r="U73" s="14" t="s">
        <v>204</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164</v>
      </c>
      <c r="AN73" s="12" t="s">
        <v>165</v>
      </c>
      <c r="AO73" s="12" t="s">
        <v>166</v>
      </c>
      <c r="AP73" s="12" t="s">
        <v>167</v>
      </c>
      <c r="AQ73" s="42" t="s">
        <v>168</v>
      </c>
      <c r="AR73" s="12" t="s">
        <v>195</v>
      </c>
      <c r="AS73" s="12" t="s">
        <v>196</v>
      </c>
      <c r="AT73" s="12" t="s">
        <v>197</v>
      </c>
      <c r="AU73" s="12" t="s">
        <v>198</v>
      </c>
      <c r="AV73" s="42" t="s">
        <v>199</v>
      </c>
    </row>
    <row r="74" spans="2:48" s="8" customFormat="1" outlineLevel="1" x14ac:dyDescent="0.3">
      <c r="B74" s="450" t="s">
        <v>115</v>
      </c>
      <c r="C74" s="451"/>
      <c r="D74" s="21">
        <v>5839</v>
      </c>
      <c r="E74" s="21">
        <v>5879</v>
      </c>
      <c r="F74" s="116">
        <v>5646</v>
      </c>
      <c r="G74" s="21">
        <v>5860</v>
      </c>
      <c r="H74" s="191">
        <f>G74</f>
        <v>5860</v>
      </c>
      <c r="I74" s="21">
        <v>6059</v>
      </c>
      <c r="J74" s="21">
        <v>6137</v>
      </c>
      <c r="K74" s="21">
        <v>6254</v>
      </c>
      <c r="L74" s="21">
        <v>6528</v>
      </c>
      <c r="M74" s="191">
        <f>L74</f>
        <v>6528</v>
      </c>
      <c r="N74" s="21">
        <v>6713</v>
      </c>
      <c r="O74" s="21">
        <f>+N74+O75</f>
        <v>6836</v>
      </c>
      <c r="P74" s="21">
        <f t="shared" ref="P74:Q74" si="269">+O74+P75</f>
        <v>7013</v>
      </c>
      <c r="Q74" s="21">
        <f t="shared" si="269"/>
        <v>7272</v>
      </c>
      <c r="R74" s="191">
        <f>Q74</f>
        <v>7272</v>
      </c>
      <c r="S74" s="21">
        <f>+Q74+S75</f>
        <v>7485</v>
      </c>
      <c r="T74" s="21">
        <f>+S74+T75</f>
        <v>7587</v>
      </c>
      <c r="U74" s="21">
        <f t="shared" ref="U74:V74" si="270">+T74+U75</f>
        <v>7717</v>
      </c>
      <c r="V74" s="21">
        <f t="shared" si="270"/>
        <v>7967</v>
      </c>
      <c r="W74" s="191">
        <f>V74</f>
        <v>7967</v>
      </c>
      <c r="X74" s="21">
        <f>+V74+X75</f>
        <v>8222</v>
      </c>
      <c r="Y74" s="21">
        <f>+X74+Y75</f>
        <v>8477</v>
      </c>
      <c r="Z74" s="21">
        <f t="shared" ref="Z74:AA74" si="271">+Y74+Z75</f>
        <v>8732</v>
      </c>
      <c r="AA74" s="21">
        <f t="shared" si="271"/>
        <v>8989</v>
      </c>
      <c r="AB74" s="191">
        <f>AA74</f>
        <v>8989</v>
      </c>
      <c r="AC74" s="21">
        <f>+AA74+AC75</f>
        <v>9253</v>
      </c>
      <c r="AD74" s="21">
        <f>+AC74+AD75</f>
        <v>9517</v>
      </c>
      <c r="AE74" s="21">
        <f t="shared" ref="AE74" si="272">+AD74+AE75</f>
        <v>9781</v>
      </c>
      <c r="AF74" s="21">
        <f t="shared" ref="AF74" si="273">+AE74+AF75</f>
        <v>10049</v>
      </c>
      <c r="AG74" s="191">
        <f>AF74</f>
        <v>10049</v>
      </c>
      <c r="AH74" s="21">
        <f>+AF74+AH75</f>
        <v>10323</v>
      </c>
      <c r="AI74" s="21">
        <f>+AH74+AI75</f>
        <v>10597</v>
      </c>
      <c r="AJ74" s="21">
        <f t="shared" ref="AJ74" si="274">+AI74+AJ75</f>
        <v>10871</v>
      </c>
      <c r="AK74" s="21">
        <f t="shared" ref="AK74" si="275">+AJ74+AK75</f>
        <v>11147</v>
      </c>
      <c r="AL74" s="191">
        <f>AK74</f>
        <v>11147</v>
      </c>
      <c r="AM74" s="21">
        <f>+AK74+AM75</f>
        <v>11277</v>
      </c>
      <c r="AN74" s="21">
        <f>+AM74+AN75</f>
        <v>11407</v>
      </c>
      <c r="AO74" s="21">
        <f t="shared" ref="AO74" si="276">+AN74+AO75</f>
        <v>11537</v>
      </c>
      <c r="AP74" s="21">
        <f t="shared" ref="AP74" si="277">+AO74+AP75</f>
        <v>11667</v>
      </c>
      <c r="AQ74" s="191">
        <f>AP74</f>
        <v>11667</v>
      </c>
      <c r="AR74" s="21">
        <f>+AP74+AR75</f>
        <v>11797</v>
      </c>
      <c r="AS74" s="21">
        <f>+AR74+AS75</f>
        <v>11927</v>
      </c>
      <c r="AT74" s="21">
        <f t="shared" ref="AT74" si="278">+AS74+AT75</f>
        <v>12057</v>
      </c>
      <c r="AU74" s="21">
        <f t="shared" ref="AU74" si="279">+AT74+AU75</f>
        <v>12187</v>
      </c>
      <c r="AV74" s="191">
        <f>AU74</f>
        <v>12187</v>
      </c>
    </row>
    <row r="75" spans="2:48" outlineLevel="1" x14ac:dyDescent="0.3">
      <c r="B75" s="180" t="s">
        <v>46</v>
      </c>
      <c r="C75" s="201"/>
      <c r="D75" s="101">
        <f>+D74-5651</f>
        <v>188</v>
      </c>
      <c r="E75" s="101">
        <f>+E74-D74</f>
        <v>40</v>
      </c>
      <c r="F75" s="101">
        <f t="shared" ref="F75:G75" si="280">+F74-E74</f>
        <v>-233</v>
      </c>
      <c r="G75" s="101">
        <f t="shared" si="280"/>
        <v>214</v>
      </c>
      <c r="H75" s="26">
        <f>+SUM(D75:G75)</f>
        <v>209</v>
      </c>
      <c r="I75" s="101">
        <f>+I74-G74</f>
        <v>199</v>
      </c>
      <c r="J75" s="101">
        <f t="shared" ref="J75:L75" si="281">+J74-I74</f>
        <v>78</v>
      </c>
      <c r="K75" s="101">
        <f t="shared" si="281"/>
        <v>117</v>
      </c>
      <c r="L75" s="101">
        <f t="shared" si="281"/>
        <v>274</v>
      </c>
      <c r="M75" s="26">
        <f>+SUM(I75:L75)</f>
        <v>668</v>
      </c>
      <c r="N75" s="101">
        <v>185</v>
      </c>
      <c r="O75" s="101">
        <v>123</v>
      </c>
      <c r="P75" s="101">
        <v>177</v>
      </c>
      <c r="Q75" s="101">
        <v>259</v>
      </c>
      <c r="R75" s="26">
        <f>+SUM(N75:Q75)</f>
        <v>744</v>
      </c>
      <c r="S75" s="101">
        <v>213</v>
      </c>
      <c r="T75" s="101">
        <v>102</v>
      </c>
      <c r="U75" s="101">
        <v>130</v>
      </c>
      <c r="V75" s="33">
        <v>250</v>
      </c>
      <c r="W75" s="122">
        <f>+SUM(S75:V75)</f>
        <v>695</v>
      </c>
      <c r="X75" s="33">
        <v>255</v>
      </c>
      <c r="Y75" s="33">
        <v>255</v>
      </c>
      <c r="Z75" s="33">
        <v>255</v>
      </c>
      <c r="AA75" s="33">
        <v>257</v>
      </c>
      <c r="AB75" s="26">
        <f>+SUM(X75:AA75)</f>
        <v>1022</v>
      </c>
      <c r="AC75" s="33">
        <v>264</v>
      </c>
      <c r="AD75" s="33">
        <v>264</v>
      </c>
      <c r="AE75" s="33">
        <v>264</v>
      </c>
      <c r="AF75" s="33">
        <v>268</v>
      </c>
      <c r="AG75" s="26">
        <f>+SUM(AC75:AF75)</f>
        <v>1060</v>
      </c>
      <c r="AH75" s="95">
        <v>274</v>
      </c>
      <c r="AI75" s="33">
        <v>274</v>
      </c>
      <c r="AJ75" s="33">
        <v>274</v>
      </c>
      <c r="AK75" s="33">
        <v>276</v>
      </c>
      <c r="AL75" s="26">
        <f>+SUM(AH75:AK75)</f>
        <v>1098</v>
      </c>
      <c r="AM75" s="33">
        <v>130</v>
      </c>
      <c r="AN75" s="33">
        <v>130</v>
      </c>
      <c r="AO75" s="33">
        <v>130</v>
      </c>
      <c r="AP75" s="33">
        <v>130</v>
      </c>
      <c r="AQ75" s="26">
        <f>+SUM(AM75:AP75)</f>
        <v>520</v>
      </c>
      <c r="AR75" s="33">
        <v>130</v>
      </c>
      <c r="AS75" s="33">
        <v>130</v>
      </c>
      <c r="AT75" s="33">
        <v>130</v>
      </c>
      <c r="AU75" s="33">
        <v>130</v>
      </c>
      <c r="AV75" s="26">
        <f>+SUM(AR75:AU75)</f>
        <v>520</v>
      </c>
    </row>
    <row r="76" spans="2:48" outlineLevel="1" x14ac:dyDescent="0.3">
      <c r="B76" s="180" t="s">
        <v>201</v>
      </c>
      <c r="C76" s="201"/>
      <c r="D76" s="101"/>
      <c r="E76" s="101">
        <f>AVERAGE(D74,E74)</f>
        <v>5859</v>
      </c>
      <c r="F76" s="101">
        <f t="shared" ref="F76:G76" si="282">AVERAGE(E74,F74)</f>
        <v>5762.5</v>
      </c>
      <c r="G76" s="101">
        <f t="shared" si="282"/>
        <v>5753</v>
      </c>
      <c r="H76" s="26"/>
      <c r="I76" s="101">
        <f>AVERAGE(G74,I74)</f>
        <v>5959.5</v>
      </c>
      <c r="J76" s="101">
        <f t="shared" ref="J76:L76" si="283">AVERAGE(I74,J74)</f>
        <v>6098</v>
      </c>
      <c r="K76" s="101">
        <f t="shared" si="283"/>
        <v>6195.5</v>
      </c>
      <c r="L76" s="101">
        <f t="shared" si="283"/>
        <v>6391</v>
      </c>
      <c r="M76" s="26"/>
      <c r="N76" s="101">
        <f>AVERAGE(L74,N74)</f>
        <v>6620.5</v>
      </c>
      <c r="O76" s="101">
        <f t="shared" ref="O76:Q76" si="284">AVERAGE(N74,O74)</f>
        <v>6774.5</v>
      </c>
      <c r="P76" s="101">
        <f t="shared" si="284"/>
        <v>6924.5</v>
      </c>
      <c r="Q76" s="101">
        <f t="shared" si="284"/>
        <v>7142.5</v>
      </c>
      <c r="R76" s="26"/>
      <c r="S76" s="101">
        <f>AVERAGE(Q74,S74)</f>
        <v>7378.5</v>
      </c>
      <c r="T76" s="101">
        <f>AVERAGE(S74,T74)</f>
        <v>7536</v>
      </c>
      <c r="U76" s="101">
        <f t="shared" ref="U76:V76" si="285">AVERAGE(T74,U74)</f>
        <v>7652</v>
      </c>
      <c r="V76" s="101">
        <f t="shared" si="285"/>
        <v>7842</v>
      </c>
      <c r="W76" s="122"/>
      <c r="X76" s="101">
        <f>AVERAGE(V74,X74)</f>
        <v>8094.5</v>
      </c>
      <c r="Y76" s="101">
        <f t="shared" ref="Y76:AA76" si="286">AVERAGE(X74,Y74)</f>
        <v>8349.5</v>
      </c>
      <c r="Z76" s="101">
        <f t="shared" si="286"/>
        <v>8604.5</v>
      </c>
      <c r="AA76" s="101">
        <f t="shared" si="286"/>
        <v>8860.5</v>
      </c>
      <c r="AB76" s="26"/>
      <c r="AC76" s="101">
        <f>AVERAGE(AA74,AC74)</f>
        <v>9121</v>
      </c>
      <c r="AD76" s="101">
        <f t="shared" ref="AD76" si="287">AVERAGE(AC74,AD74)</f>
        <v>9385</v>
      </c>
      <c r="AE76" s="101">
        <f t="shared" ref="AE76" si="288">AVERAGE(AD74,AE74)</f>
        <v>9649</v>
      </c>
      <c r="AF76" s="101">
        <f t="shared" ref="AF76" si="289">AVERAGE(AE74,AF74)</f>
        <v>9915</v>
      </c>
      <c r="AG76" s="26"/>
      <c r="AH76" s="101">
        <f>AVERAGE(AF74,AH74)</f>
        <v>10186</v>
      </c>
      <c r="AI76" s="101">
        <f t="shared" ref="AI76" si="290">AVERAGE(AH74,AI74)</f>
        <v>10460</v>
      </c>
      <c r="AJ76" s="101">
        <f t="shared" ref="AJ76" si="291">AVERAGE(AI74,AJ74)</f>
        <v>10734</v>
      </c>
      <c r="AK76" s="101">
        <f t="shared" ref="AK76" si="292">AVERAGE(AJ74,AK74)</f>
        <v>11009</v>
      </c>
      <c r="AL76" s="26"/>
      <c r="AM76" s="101">
        <f>AVERAGE(AK74,AM74)</f>
        <v>11212</v>
      </c>
      <c r="AN76" s="101">
        <f t="shared" ref="AN76" si="293">AVERAGE(AM74,AN74)</f>
        <v>11342</v>
      </c>
      <c r="AO76" s="101">
        <f t="shared" ref="AO76" si="294">AVERAGE(AN74,AO74)</f>
        <v>11472</v>
      </c>
      <c r="AP76" s="101">
        <f t="shared" ref="AP76" si="295">AVERAGE(AO74,AP74)</f>
        <v>11602</v>
      </c>
      <c r="AQ76" s="26"/>
      <c r="AR76" s="101">
        <f>AVERAGE(AP74,AR74)</f>
        <v>11732</v>
      </c>
      <c r="AS76" s="101">
        <f t="shared" ref="AS76" si="296">AVERAGE(AR74,AS74)</f>
        <v>11862</v>
      </c>
      <c r="AT76" s="101">
        <f t="shared" ref="AT76" si="297">AVERAGE(AS74,AT74)</f>
        <v>11992</v>
      </c>
      <c r="AU76" s="101">
        <f t="shared" ref="AU76" si="298">AVERAGE(AT74,AU74)</f>
        <v>12122</v>
      </c>
      <c r="AV76" s="26"/>
    </row>
    <row r="77" spans="2:48" s="20" customFormat="1" outlineLevel="1" x14ac:dyDescent="0.3">
      <c r="B77" s="180" t="s">
        <v>206</v>
      </c>
      <c r="C77" s="206"/>
      <c r="D77" s="43"/>
      <c r="E77" s="43">
        <f>+E78/E76</f>
        <v>0.22348523638846221</v>
      </c>
      <c r="F77" s="114">
        <f>+F78/F76</f>
        <v>0.2347592190889371</v>
      </c>
      <c r="G77" s="43">
        <f>+G78/G76</f>
        <v>0.22873283504258649</v>
      </c>
      <c r="H77" s="97"/>
      <c r="I77" s="43">
        <f>+I78/I76</f>
        <v>0.21976675895628828</v>
      </c>
      <c r="J77" s="43">
        <f>+J78/J76</f>
        <v>0.14798294522794359</v>
      </c>
      <c r="K77" s="43">
        <f>+K78/K76</f>
        <v>0.14131224275683965</v>
      </c>
      <c r="L77" s="43">
        <f>+L78/L76</f>
        <v>0.20314504772336098</v>
      </c>
      <c r="M77" s="97"/>
      <c r="N77" s="43">
        <f>+N78/N76</f>
        <v>0.21776300883619062</v>
      </c>
      <c r="O77" s="43">
        <f>+O78/O76</f>
        <v>0.20439884862351465</v>
      </c>
      <c r="P77" s="43">
        <f>+P78/P76</f>
        <v>0.20698967434471802</v>
      </c>
      <c r="Q77" s="43">
        <f>+Q78/Q76</f>
        <v>0.22541127056352817</v>
      </c>
      <c r="R77" s="97"/>
      <c r="S77" s="43">
        <f>+S78/S76</f>
        <v>0.20441824219014704</v>
      </c>
      <c r="T77" s="43">
        <f>+T78/T76</f>
        <v>0.17786624203821658</v>
      </c>
      <c r="U77" s="43">
        <f>+U78/U76</f>
        <v>0.15189492943021432</v>
      </c>
      <c r="V77" s="62">
        <f>Q77*0.8</f>
        <v>0.18032901645082255</v>
      </c>
      <c r="W77" s="132"/>
      <c r="X77" s="62">
        <f>S77*0.85</f>
        <v>0.17375550586162497</v>
      </c>
      <c r="Y77" s="62">
        <f>T77*0.95</f>
        <v>0.16897292993630575</v>
      </c>
      <c r="Z77" s="62">
        <f>U77*1.2</f>
        <v>0.18227391531625717</v>
      </c>
      <c r="AA77" s="62">
        <f>V77*1.2</f>
        <v>0.21639481974098707</v>
      </c>
      <c r="AB77" s="97"/>
      <c r="AC77" s="62">
        <f>X77*1.2</f>
        <v>0.20850660703394996</v>
      </c>
      <c r="AD77" s="62">
        <f>Y77*1.05</f>
        <v>0.17742157643312104</v>
      </c>
      <c r="AE77" s="62">
        <f>Z77*1.05</f>
        <v>0.19138761108207003</v>
      </c>
      <c r="AF77" s="62">
        <f>AA77*1.05</f>
        <v>0.22721456072803642</v>
      </c>
      <c r="AG77" s="97"/>
      <c r="AH77" s="62">
        <f>AC77*1.05</f>
        <v>0.21893193738564748</v>
      </c>
      <c r="AI77" s="62">
        <f t="shared" ref="AI77" si="299">AD77*1.05</f>
        <v>0.18629265525477709</v>
      </c>
      <c r="AJ77" s="62">
        <f t="shared" ref="AJ77" si="300">AE77*1.05</f>
        <v>0.20095699163617353</v>
      </c>
      <c r="AK77" s="62">
        <f t="shared" ref="AK77" si="301">AF77*1.05</f>
        <v>0.23857528876443826</v>
      </c>
      <c r="AL77" s="97"/>
      <c r="AM77" s="62">
        <f>AH77*1.05</f>
        <v>0.22987853425492985</v>
      </c>
      <c r="AN77" s="62">
        <f>AI77*1.05</f>
        <v>0.19560728801751595</v>
      </c>
      <c r="AO77" s="62">
        <f>AJ77*1.05</f>
        <v>0.21100484121798221</v>
      </c>
      <c r="AP77" s="62">
        <f>AK77*1.05</f>
        <v>0.25050405320266017</v>
      </c>
      <c r="AQ77" s="97"/>
      <c r="AR77" s="62">
        <f>AM77*1.03</f>
        <v>0.23677489028257775</v>
      </c>
      <c r="AS77" s="62">
        <f>AN77*1.03</f>
        <v>0.20147550665804143</v>
      </c>
      <c r="AT77" s="62">
        <f>AO77*1.03</f>
        <v>0.21733498645452168</v>
      </c>
      <c r="AU77" s="62">
        <f>AP77*1.03</f>
        <v>0.25801917479873998</v>
      </c>
      <c r="AV77" s="97"/>
    </row>
    <row r="78" spans="2:48" s="8" customFormat="1" outlineLevel="1" x14ac:dyDescent="0.3">
      <c r="B78" s="438" t="s">
        <v>116</v>
      </c>
      <c r="C78" s="439"/>
      <c r="D78" s="50">
        <v>1278.0999999999999</v>
      </c>
      <c r="E78" s="50">
        <v>1309.4000000000001</v>
      </c>
      <c r="F78" s="103">
        <v>1352.8</v>
      </c>
      <c r="G78" s="50">
        <v>1315.9</v>
      </c>
      <c r="H78" s="97">
        <f>SUM(D78:G78)</f>
        <v>5256.2000000000007</v>
      </c>
      <c r="I78" s="50">
        <v>1309.7</v>
      </c>
      <c r="J78" s="50">
        <v>902.4</v>
      </c>
      <c r="K78" s="103">
        <v>875.5</v>
      </c>
      <c r="L78" s="50">
        <v>1298.3</v>
      </c>
      <c r="M78" s="97">
        <f>SUM(I78:L78)</f>
        <v>4385.8999999999996</v>
      </c>
      <c r="N78" s="50">
        <v>1441.7</v>
      </c>
      <c r="O78" s="50">
        <v>1384.7</v>
      </c>
      <c r="P78" s="50">
        <v>1433.3</v>
      </c>
      <c r="Q78" s="103">
        <v>1610</v>
      </c>
      <c r="R78" s="97">
        <f>SUM(N78:Q78)</f>
        <v>5869.7</v>
      </c>
      <c r="S78" s="50">
        <v>1508.3</v>
      </c>
      <c r="T78" s="50">
        <v>1340.4</v>
      </c>
      <c r="U78" s="50">
        <v>1162.3</v>
      </c>
      <c r="V78" s="50">
        <f>V77*V76</f>
        <v>1414.1401470073504</v>
      </c>
      <c r="W78" s="132">
        <f>SUM(S78:V78)</f>
        <v>5425.1401470073506</v>
      </c>
      <c r="X78" s="50">
        <f>X77*X76</f>
        <v>1406.4639421969234</v>
      </c>
      <c r="Y78" s="50">
        <f>Y77*Y76</f>
        <v>1410.8394785031849</v>
      </c>
      <c r="Z78" s="50">
        <f>Z77*Z76</f>
        <v>1568.3759043387347</v>
      </c>
      <c r="AA78" s="50">
        <f>AA77*AA76</f>
        <v>1917.3663003150159</v>
      </c>
      <c r="AB78" s="97">
        <f>SUM(X78:AA78)</f>
        <v>6303.0456253538587</v>
      </c>
      <c r="AC78" s="50">
        <f>AC77*AC76</f>
        <v>1901.7887627566577</v>
      </c>
      <c r="AD78" s="50">
        <f>AD77*AD76</f>
        <v>1665.101494824841</v>
      </c>
      <c r="AE78" s="50">
        <f>AE77*AE76</f>
        <v>1846.6990593308938</v>
      </c>
      <c r="AF78" s="50">
        <f>AF77*AF76</f>
        <v>2252.8323696184812</v>
      </c>
      <c r="AG78" s="97">
        <f>SUM(AC78:AF78)</f>
        <v>7666.4216865308736</v>
      </c>
      <c r="AH78" s="50">
        <f>AH77*AH76</f>
        <v>2230.0407142102054</v>
      </c>
      <c r="AI78" s="50">
        <f>AI77*AI76</f>
        <v>1948.6211739649684</v>
      </c>
      <c r="AJ78" s="50">
        <f>AJ77*AJ76</f>
        <v>2157.0723482226867</v>
      </c>
      <c r="AK78" s="50">
        <f>AK77*AK76</f>
        <v>2626.4753540077008</v>
      </c>
      <c r="AL78" s="97">
        <f>SUM(AH78:AK78)</f>
        <v>8962.2095904055604</v>
      </c>
      <c r="AM78" s="50">
        <f>AM77*AM76</f>
        <v>2577.3981260662736</v>
      </c>
      <c r="AN78" s="50">
        <f>AN77*AN76</f>
        <v>2218.577860694666</v>
      </c>
      <c r="AO78" s="50">
        <f>AO77*AO76</f>
        <v>2420.6475384526921</v>
      </c>
      <c r="AP78" s="50">
        <f>AP77*AP76</f>
        <v>2906.3480252572631</v>
      </c>
      <c r="AQ78" s="97">
        <f>SUM(AM78:AP78)</f>
        <v>10122.971550470895</v>
      </c>
      <c r="AR78" s="50">
        <f>AR77*AR76</f>
        <v>2777.8430127952024</v>
      </c>
      <c r="AS78" s="50">
        <f>AS77*AS76</f>
        <v>2389.9024599776876</v>
      </c>
      <c r="AT78" s="50">
        <f>AT77*AT76</f>
        <v>2606.2811575626238</v>
      </c>
      <c r="AU78" s="50">
        <f>AU77*AU76</f>
        <v>3127.7084369103259</v>
      </c>
      <c r="AV78" s="97">
        <f>SUM(AR78:AU78)</f>
        <v>10901.73506724584</v>
      </c>
    </row>
    <row r="79" spans="2:48" s="8" customFormat="1" outlineLevel="1" x14ac:dyDescent="0.3">
      <c r="B79" s="38" t="s">
        <v>200</v>
      </c>
      <c r="C79" s="206"/>
      <c r="D79" s="43"/>
      <c r="E79" s="43"/>
      <c r="F79" s="43"/>
      <c r="G79" s="43"/>
      <c r="H79" s="97"/>
      <c r="I79" s="27">
        <f>I78/D78-1</f>
        <v>2.4724199984351936E-2</v>
      </c>
      <c r="J79" s="27">
        <f>J78/E78-1</f>
        <v>-0.31082938750572786</v>
      </c>
      <c r="K79" s="27">
        <f>K78/F78-1</f>
        <v>-0.35282377291543465</v>
      </c>
      <c r="L79" s="27">
        <f>L78/G78-1</f>
        <v>-1.3374876510373279E-2</v>
      </c>
      <c r="M79" s="97"/>
      <c r="N79" s="27">
        <f>N78/I78-1</f>
        <v>0.10078643964266631</v>
      </c>
      <c r="O79" s="27">
        <f>O78/J78-1</f>
        <v>0.53446365248226968</v>
      </c>
      <c r="P79" s="27">
        <f>P78/K78-1</f>
        <v>0.63712164477441457</v>
      </c>
      <c r="Q79" s="27">
        <f>Q78/L78-1</f>
        <v>0.24008318570438281</v>
      </c>
      <c r="R79" s="97"/>
      <c r="S79" s="27">
        <f t="shared" ref="S79:AP79" si="302">S78/N78-1</f>
        <v>4.6195463688700755E-2</v>
      </c>
      <c r="T79" s="27">
        <f t="shared" si="302"/>
        <v>-3.1992489347873132E-2</v>
      </c>
      <c r="U79" s="27">
        <f t="shared" si="302"/>
        <v>-0.18907416451545389</v>
      </c>
      <c r="V79" s="27">
        <f t="shared" si="302"/>
        <v>-0.12165208260413019</v>
      </c>
      <c r="W79" s="375">
        <f t="shared" si="302"/>
        <v>-7.5738087635253803E-2</v>
      </c>
      <c r="X79" s="27">
        <f t="shared" si="302"/>
        <v>-6.7517110523819257E-2</v>
      </c>
      <c r="Y79" s="27">
        <f t="shared" si="302"/>
        <v>5.2551088110403432E-2</v>
      </c>
      <c r="Z79" s="27">
        <f t="shared" si="302"/>
        <v>0.34937271301620476</v>
      </c>
      <c r="AA79" s="27">
        <f t="shared" si="302"/>
        <v>0.35585309869931159</v>
      </c>
      <c r="AB79" s="375">
        <f t="shared" si="302"/>
        <v>0.16182171419678149</v>
      </c>
      <c r="AC79" s="27">
        <f t="shared" si="302"/>
        <v>0.35217740441040202</v>
      </c>
      <c r="AD79" s="27">
        <f t="shared" si="302"/>
        <v>0.18022037247739386</v>
      </c>
      <c r="AE79" s="27">
        <f t="shared" si="302"/>
        <v>0.17745946888256148</v>
      </c>
      <c r="AF79" s="27">
        <f t="shared" si="302"/>
        <v>0.17496190959878111</v>
      </c>
      <c r="AG79" s="375">
        <f t="shared" si="302"/>
        <v>0.21630433003576321</v>
      </c>
      <c r="AH79" s="27">
        <f t="shared" si="302"/>
        <v>0.17260168841135859</v>
      </c>
      <c r="AI79" s="27">
        <f t="shared" si="302"/>
        <v>0.17027171017581244</v>
      </c>
      <c r="AJ79" s="27">
        <f t="shared" si="302"/>
        <v>0.1680692299720179</v>
      </c>
      <c r="AK79" s="27">
        <f t="shared" si="302"/>
        <v>0.16585476550680789</v>
      </c>
      <c r="AL79" s="375">
        <f t="shared" si="302"/>
        <v>0.16902121444105478</v>
      </c>
      <c r="AM79" s="27">
        <f t="shared" si="302"/>
        <v>0.15576281170233641</v>
      </c>
      <c r="AN79" s="27">
        <f t="shared" si="302"/>
        <v>0.13853728489483763</v>
      </c>
      <c r="AO79" s="27">
        <f t="shared" si="302"/>
        <v>0.12219116825041931</v>
      </c>
      <c r="AP79" s="27">
        <f t="shared" si="302"/>
        <v>0.10655827050594957</v>
      </c>
      <c r="AQ79" s="97"/>
      <c r="AR79" s="27">
        <f>AR78/AM78-1</f>
        <v>7.7770246164823531E-2</v>
      </c>
      <c r="AS79" s="27">
        <f>AS78/AN78-1</f>
        <v>7.7222712043731212E-2</v>
      </c>
      <c r="AT79" s="27">
        <f>AT78/AO78-1</f>
        <v>7.6687587168758675E-2</v>
      </c>
      <c r="AU79" s="27">
        <f>AU78/AP78-1</f>
        <v>7.6164454404413107E-2</v>
      </c>
      <c r="AV79" s="97"/>
    </row>
    <row r="80" spans="2:48" outlineLevel="1" x14ac:dyDescent="0.3">
      <c r="B80" s="236" t="s">
        <v>44</v>
      </c>
      <c r="C80" s="221"/>
      <c r="D80" s="222">
        <v>0.01</v>
      </c>
      <c r="E80" s="222">
        <v>0</v>
      </c>
      <c r="F80" s="222">
        <v>0.01</v>
      </c>
      <c r="G80" s="222">
        <v>0.01</v>
      </c>
      <c r="H80" s="223"/>
      <c r="I80" s="222">
        <v>-0.01</v>
      </c>
      <c r="J80" s="222">
        <v>-0.32</v>
      </c>
      <c r="K80" s="222">
        <v>-0.44</v>
      </c>
      <c r="L80" s="224">
        <v>-0.15</v>
      </c>
      <c r="M80" s="223"/>
      <c r="N80" s="222">
        <v>-0.03</v>
      </c>
      <c r="O80" s="222">
        <v>0.26</v>
      </c>
      <c r="P80" s="222">
        <v>0.55000000000000004</v>
      </c>
      <c r="Q80" s="222">
        <v>0.06</v>
      </c>
      <c r="R80" s="225"/>
      <c r="S80" s="224">
        <v>0.02</v>
      </c>
      <c r="T80" s="224">
        <v>-0.03</v>
      </c>
      <c r="U80" s="224">
        <v>-0.18</v>
      </c>
      <c r="V80" s="224"/>
      <c r="W80" s="223"/>
      <c r="X80" s="224"/>
      <c r="Y80" s="224"/>
      <c r="Z80" s="224"/>
      <c r="AA80" s="224"/>
      <c r="AB80" s="225"/>
      <c r="AC80" s="224"/>
      <c r="AD80" s="224"/>
      <c r="AE80" s="224"/>
      <c r="AF80" s="224"/>
      <c r="AG80" s="225"/>
      <c r="AH80" s="224"/>
      <c r="AI80" s="224"/>
      <c r="AJ80" s="224"/>
      <c r="AK80" s="224"/>
      <c r="AL80" s="225"/>
      <c r="AM80" s="224"/>
      <c r="AN80" s="224"/>
      <c r="AO80" s="224"/>
      <c r="AP80" s="224"/>
      <c r="AQ80" s="225"/>
      <c r="AR80" s="224"/>
      <c r="AS80" s="224"/>
      <c r="AT80" s="224"/>
      <c r="AU80" s="224"/>
      <c r="AV80" s="225"/>
    </row>
    <row r="81" spans="1:48" outlineLevel="1" x14ac:dyDescent="0.3">
      <c r="B81" s="180" t="s">
        <v>43</v>
      </c>
      <c r="C81" s="207"/>
      <c r="D81" s="151">
        <v>0.01</v>
      </c>
      <c r="E81" s="151">
        <v>0.02</v>
      </c>
      <c r="F81" s="151">
        <v>0.03</v>
      </c>
      <c r="G81" s="151">
        <v>0.03</v>
      </c>
      <c r="H81" s="60"/>
      <c r="I81" s="151">
        <v>0.02</v>
      </c>
      <c r="J81" s="151">
        <v>0.01</v>
      </c>
      <c r="K81" s="151">
        <v>0.13</v>
      </c>
      <c r="L81" s="59">
        <v>7.0000000000000007E-2</v>
      </c>
      <c r="M81" s="60"/>
      <c r="N81" s="151">
        <v>-0.1</v>
      </c>
      <c r="O81" s="59">
        <v>7.0000000000000007E-2</v>
      </c>
      <c r="P81" s="59">
        <v>-0.09</v>
      </c>
      <c r="Q81" s="151">
        <v>-0.02</v>
      </c>
      <c r="R81" s="60"/>
      <c r="S81" s="59">
        <v>-0.05</v>
      </c>
      <c r="T81" s="59">
        <v>-0.05</v>
      </c>
      <c r="U81" s="59">
        <v>-0.15</v>
      </c>
      <c r="V81" s="59"/>
      <c r="W81" s="148"/>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3">
      <c r="B82" s="208" t="s">
        <v>45</v>
      </c>
      <c r="C82" s="206"/>
      <c r="D82" s="152">
        <v>0.02</v>
      </c>
      <c r="E82" s="152">
        <v>0.02</v>
      </c>
      <c r="F82" s="152">
        <v>0.05</v>
      </c>
      <c r="G82" s="152">
        <v>0.03</v>
      </c>
      <c r="H82" s="61"/>
      <c r="I82" s="152">
        <v>0.01</v>
      </c>
      <c r="J82" s="152">
        <v>-0.31</v>
      </c>
      <c r="K82" s="152">
        <v>-0.37</v>
      </c>
      <c r="L82" s="157">
        <v>-0.1</v>
      </c>
      <c r="M82" s="61"/>
      <c r="N82" s="152">
        <v>0.08</v>
      </c>
      <c r="O82" s="152">
        <v>0.35</v>
      </c>
      <c r="P82" s="152">
        <v>0.41</v>
      </c>
      <c r="Q82" s="152">
        <v>0.03</v>
      </c>
      <c r="R82" s="377">
        <f>R92/M92-1</f>
        <v>0.32353965857623956</v>
      </c>
      <c r="S82" s="152">
        <v>-0.03</v>
      </c>
      <c r="T82" s="152">
        <v>-0.08</v>
      </c>
      <c r="U82" s="152">
        <v>-0.04</v>
      </c>
      <c r="V82" s="152"/>
      <c r="W82" s="377">
        <f>W92/R92-1</f>
        <v>2.1698124630008753E-2</v>
      </c>
      <c r="X82" s="157"/>
      <c r="Y82" s="157"/>
      <c r="Z82" s="157"/>
      <c r="AA82" s="157"/>
      <c r="AB82" s="377">
        <f>AB92/W92-1</f>
        <v>0.18596828727514603</v>
      </c>
      <c r="AC82" s="157"/>
      <c r="AD82" s="157"/>
      <c r="AE82" s="157"/>
      <c r="AF82" s="157"/>
      <c r="AG82" s="377">
        <f>AG92/AB92-1</f>
        <v>0.19889504341978603</v>
      </c>
      <c r="AH82" s="157"/>
      <c r="AI82" s="157"/>
      <c r="AJ82" s="157"/>
      <c r="AK82" s="157"/>
      <c r="AL82" s="377">
        <f>AL92/AG92-1</f>
        <v>0.16298126736888419</v>
      </c>
      <c r="AM82" s="157"/>
      <c r="AN82" s="157"/>
      <c r="AO82" s="157"/>
      <c r="AP82" s="157">
        <v>0.04</v>
      </c>
      <c r="AQ82" s="134"/>
      <c r="AR82" s="157"/>
      <c r="AS82" s="157"/>
      <c r="AT82" s="157"/>
      <c r="AU82" s="157">
        <v>0.04</v>
      </c>
      <c r="AV82" s="61"/>
    </row>
    <row r="83" spans="1:48" s="8" customFormat="1" outlineLevel="1" x14ac:dyDescent="0.3">
      <c r="B83" s="454" t="s">
        <v>117</v>
      </c>
      <c r="C83" s="455"/>
      <c r="D83" s="117">
        <v>6373</v>
      </c>
      <c r="E83" s="117">
        <v>6586</v>
      </c>
      <c r="F83" s="117">
        <v>7127</v>
      </c>
      <c r="G83" s="117">
        <v>7329</v>
      </c>
      <c r="H83" s="192">
        <f>G83</f>
        <v>7329</v>
      </c>
      <c r="I83" s="117">
        <v>7533</v>
      </c>
      <c r="J83" s="117">
        <v>7642</v>
      </c>
      <c r="K83" s="117">
        <v>7691</v>
      </c>
      <c r="L83" s="117">
        <v>9735</v>
      </c>
      <c r="M83" s="192">
        <f>L83</f>
        <v>9735</v>
      </c>
      <c r="N83" s="117">
        <v>7917</v>
      </c>
      <c r="O83" s="67">
        <f>+N83+O84</f>
        <v>7987</v>
      </c>
      <c r="P83" s="67">
        <f t="shared" ref="P83" si="303">+O83+P84</f>
        <v>8107</v>
      </c>
      <c r="Q83" s="67">
        <v>9735</v>
      </c>
      <c r="R83" s="192">
        <f>Q83</f>
        <v>9735</v>
      </c>
      <c r="S83" s="67">
        <f>+Q83+S84</f>
        <v>9944</v>
      </c>
      <c r="T83" s="67">
        <f>+S83+T84</f>
        <v>10117</v>
      </c>
      <c r="U83" s="67">
        <f t="shared" ref="U83:V83" si="304">+T83+U84</f>
        <v>10181</v>
      </c>
      <c r="V83" s="67">
        <f t="shared" si="304"/>
        <v>10331</v>
      </c>
      <c r="W83" s="253">
        <f>V83</f>
        <v>10331</v>
      </c>
      <c r="X83" s="67">
        <f>+V83+X84</f>
        <v>10567</v>
      </c>
      <c r="Y83" s="67">
        <f>+X83+Y84</f>
        <v>10803</v>
      </c>
      <c r="Z83" s="67">
        <f t="shared" ref="Z83:AA83" si="305">+Y83+Z84</f>
        <v>11039</v>
      </c>
      <c r="AA83" s="67">
        <f t="shared" si="305"/>
        <v>11277</v>
      </c>
      <c r="AB83" s="192">
        <f>AA83</f>
        <v>11277</v>
      </c>
      <c r="AC83" s="67">
        <f>+AA83+AC84</f>
        <v>11521</v>
      </c>
      <c r="AD83" s="67">
        <f>+AC83+AD84</f>
        <v>11765</v>
      </c>
      <c r="AE83" s="67">
        <f t="shared" ref="AE83" si="306">+AD83+AE84</f>
        <v>12009</v>
      </c>
      <c r="AF83" s="67">
        <f t="shared" ref="AF83" si="307">+AE83+AF84</f>
        <v>12255</v>
      </c>
      <c r="AG83" s="192">
        <f>AF83</f>
        <v>12255</v>
      </c>
      <c r="AH83" s="67">
        <f>+AF83+AH84</f>
        <v>12508</v>
      </c>
      <c r="AI83" s="67">
        <f>+AH83+AI84</f>
        <v>12761</v>
      </c>
      <c r="AJ83" s="67">
        <f t="shared" ref="AJ83" si="308">+AI83+AJ84</f>
        <v>13014</v>
      </c>
      <c r="AK83" s="67">
        <f t="shared" ref="AK83" si="309">+AJ83+AK84</f>
        <v>13268</v>
      </c>
      <c r="AL83" s="192">
        <f>AK83</f>
        <v>13268</v>
      </c>
      <c r="AM83" s="67">
        <f>+AK83+AM84</f>
        <v>13332</v>
      </c>
      <c r="AN83" s="67">
        <f>+AM83+AN84</f>
        <v>13396</v>
      </c>
      <c r="AO83" s="67">
        <f t="shared" ref="AO83" si="310">+AN83+AO84</f>
        <v>13460</v>
      </c>
      <c r="AP83" s="67">
        <f t="shared" ref="AP83" si="311">+AO83+AP84</f>
        <v>13524</v>
      </c>
      <c r="AQ83" s="192">
        <f>AP83</f>
        <v>13524</v>
      </c>
      <c r="AR83" s="67">
        <f>+AP83+AR84</f>
        <v>13588</v>
      </c>
      <c r="AS83" s="67">
        <f>+AR83+AS84</f>
        <v>13652</v>
      </c>
      <c r="AT83" s="67">
        <f t="shared" ref="AT83" si="312">+AS83+AT84</f>
        <v>13716</v>
      </c>
      <c r="AU83" s="67">
        <f t="shared" ref="AU83" si="313">+AT83+AU84</f>
        <v>13780</v>
      </c>
      <c r="AV83" s="192">
        <f>AU83</f>
        <v>13780</v>
      </c>
    </row>
    <row r="84" spans="1:48" outlineLevel="1" x14ac:dyDescent="0.3">
      <c r="B84" s="180" t="s">
        <v>47</v>
      </c>
      <c r="C84" s="201"/>
      <c r="D84" s="101">
        <f>+D83-6201</f>
        <v>172</v>
      </c>
      <c r="E84" s="101">
        <f>+E83-D83</f>
        <v>213</v>
      </c>
      <c r="F84" s="101">
        <f t="shared" ref="F84:G84" si="314">+F83-E83</f>
        <v>541</v>
      </c>
      <c r="G84" s="101">
        <f t="shared" si="314"/>
        <v>202</v>
      </c>
      <c r="H84" s="122">
        <f>+SUM(D84:G84)</f>
        <v>1128</v>
      </c>
      <c r="I84" s="101">
        <f>+I83-G83</f>
        <v>204</v>
      </c>
      <c r="J84" s="101">
        <f t="shared" ref="J84:K84" si="315">+J83-I83</f>
        <v>109</v>
      </c>
      <c r="K84" s="101">
        <f t="shared" si="315"/>
        <v>49</v>
      </c>
      <c r="L84" s="101">
        <v>82</v>
      </c>
      <c r="M84" s="122">
        <f>+SUM(I84:L84)</f>
        <v>444</v>
      </c>
      <c r="N84" s="101">
        <v>139</v>
      </c>
      <c r="O84" s="101">
        <v>70</v>
      </c>
      <c r="P84" s="101">
        <v>120</v>
      </c>
      <c r="Q84" s="101">
        <v>205</v>
      </c>
      <c r="R84" s="122">
        <f>+SUM(N84:Q84)</f>
        <v>534</v>
      </c>
      <c r="S84" s="101">
        <v>209</v>
      </c>
      <c r="T84" s="101">
        <v>173</v>
      </c>
      <c r="U84" s="101">
        <v>64</v>
      </c>
      <c r="V84" s="33">
        <v>150</v>
      </c>
      <c r="W84" s="122">
        <f>+SUM(S84:V84)</f>
        <v>596</v>
      </c>
      <c r="X84" s="33">
        <v>236</v>
      </c>
      <c r="Y84" s="33">
        <v>236</v>
      </c>
      <c r="Z84" s="33">
        <v>236</v>
      </c>
      <c r="AA84" s="33">
        <v>238</v>
      </c>
      <c r="AB84" s="122">
        <f>+SUM(X84:AA84)</f>
        <v>946</v>
      </c>
      <c r="AC84" s="33">
        <v>244</v>
      </c>
      <c r="AD84" s="33">
        <v>244</v>
      </c>
      <c r="AE84" s="33">
        <v>244</v>
      </c>
      <c r="AF84" s="33">
        <v>246</v>
      </c>
      <c r="AG84" s="122">
        <f>+SUM(AC84:AF84)</f>
        <v>978</v>
      </c>
      <c r="AH84" s="33">
        <v>253</v>
      </c>
      <c r="AI84" s="33">
        <v>253</v>
      </c>
      <c r="AJ84" s="33">
        <v>253</v>
      </c>
      <c r="AK84" s="33">
        <v>254</v>
      </c>
      <c r="AL84" s="122">
        <f>+SUM(AH84:AK84)</f>
        <v>1013</v>
      </c>
      <c r="AM84" s="33">
        <v>64</v>
      </c>
      <c r="AN84" s="33">
        <v>64</v>
      </c>
      <c r="AO84" s="33">
        <v>64</v>
      </c>
      <c r="AP84" s="33">
        <v>64</v>
      </c>
      <c r="AQ84" s="122">
        <f>+SUM(AM84:AP84)</f>
        <v>256</v>
      </c>
      <c r="AR84" s="33">
        <v>64</v>
      </c>
      <c r="AS84" s="33">
        <v>64</v>
      </c>
      <c r="AT84" s="33">
        <v>64</v>
      </c>
      <c r="AU84" s="33">
        <v>64</v>
      </c>
      <c r="AV84" s="122">
        <f>+SUM(AR84:AU84)</f>
        <v>256</v>
      </c>
    </row>
    <row r="85" spans="1:48" outlineLevel="1" x14ac:dyDescent="0.3">
      <c r="B85" s="180" t="s">
        <v>49</v>
      </c>
      <c r="C85" s="201"/>
      <c r="D85" s="16">
        <f>AVERAGE(D83,6201)</f>
        <v>6287</v>
      </c>
      <c r="E85" s="16">
        <f>AVERAGE(E83,D83)</f>
        <v>6479.5</v>
      </c>
      <c r="F85" s="16">
        <f t="shared" ref="F85:G85" si="316">AVERAGE(F83,E83)</f>
        <v>6856.5</v>
      </c>
      <c r="G85" s="16">
        <f t="shared" si="316"/>
        <v>7228</v>
      </c>
      <c r="H85" s="26"/>
      <c r="I85" s="16">
        <f>AVERAGE(I83,G83)</f>
        <v>7431</v>
      </c>
      <c r="J85" s="16">
        <f>AVERAGE(J83,I83)</f>
        <v>7587.5</v>
      </c>
      <c r="K85" s="16">
        <f t="shared" ref="K85:L85" si="317">AVERAGE(K83,J83)</f>
        <v>7666.5</v>
      </c>
      <c r="L85" s="16">
        <f t="shared" si="317"/>
        <v>8713</v>
      </c>
      <c r="M85" s="6"/>
      <c r="N85" s="16">
        <f>AVERAGE(N83,L83)</f>
        <v>8826</v>
      </c>
      <c r="O85" s="16">
        <f>AVERAGE(O83,N83)</f>
        <v>7952</v>
      </c>
      <c r="P85" s="16">
        <f t="shared" ref="P85:Q85" si="318">AVERAGE(P83,O83)</f>
        <v>8047</v>
      </c>
      <c r="Q85" s="16">
        <f t="shared" si="318"/>
        <v>8921</v>
      </c>
      <c r="R85" s="6"/>
      <c r="S85" s="16">
        <f>AVERAGE(S83,Q83)</f>
        <v>9839.5</v>
      </c>
      <c r="T85" s="16">
        <f>AVERAGE(T83,S83)</f>
        <v>10030.5</v>
      </c>
      <c r="U85" s="16">
        <f t="shared" ref="U85:V85" si="319">AVERAGE(U83,T83)</f>
        <v>10149</v>
      </c>
      <c r="V85" s="16">
        <f t="shared" si="319"/>
        <v>10256</v>
      </c>
      <c r="W85" s="130"/>
      <c r="X85" s="16">
        <f>AVERAGE(X83,V83)</f>
        <v>10449</v>
      </c>
      <c r="Y85" s="16">
        <f>AVERAGE(Y83,X83)</f>
        <v>10685</v>
      </c>
      <c r="Z85" s="16">
        <f t="shared" ref="Z85:AA85" si="320">AVERAGE(Z83,Y83)</f>
        <v>10921</v>
      </c>
      <c r="AA85" s="16">
        <f t="shared" si="320"/>
        <v>11158</v>
      </c>
      <c r="AB85" s="6"/>
      <c r="AC85" s="16">
        <f>AVERAGE(AC83,AA83)</f>
        <v>11399</v>
      </c>
      <c r="AD85" s="16">
        <f>AVERAGE(AD83,AC83)</f>
        <v>11643</v>
      </c>
      <c r="AE85" s="16">
        <f t="shared" ref="AE85" si="321">AVERAGE(AE83,AD83)</f>
        <v>11887</v>
      </c>
      <c r="AF85" s="16">
        <f t="shared" ref="AF85" si="322">AVERAGE(AF83,AE83)</f>
        <v>12132</v>
      </c>
      <c r="AG85" s="6"/>
      <c r="AH85" s="16">
        <f>AVERAGE(AH83,AF83)</f>
        <v>12381.5</v>
      </c>
      <c r="AI85" s="16">
        <f>AVERAGE(AI83,AH83)</f>
        <v>12634.5</v>
      </c>
      <c r="AJ85" s="16">
        <f t="shared" ref="AJ85" si="323">AVERAGE(AJ83,AI83)</f>
        <v>12887.5</v>
      </c>
      <c r="AK85" s="16">
        <f t="shared" ref="AK85" si="324">AVERAGE(AK83,AJ83)</f>
        <v>13141</v>
      </c>
      <c r="AL85" s="6"/>
      <c r="AM85" s="16">
        <f>AVERAGE(AM83,AK83)</f>
        <v>13300</v>
      </c>
      <c r="AN85" s="16">
        <f>AVERAGE(AN83,AM83)</f>
        <v>13364</v>
      </c>
      <c r="AO85" s="16">
        <f t="shared" ref="AO85" si="325">AVERAGE(AO83,AN83)</f>
        <v>13428</v>
      </c>
      <c r="AP85" s="16">
        <f t="shared" ref="AP85" si="326">AVERAGE(AP83,AO83)</f>
        <v>13492</v>
      </c>
      <c r="AQ85" s="6"/>
      <c r="AR85" s="16">
        <f>AVERAGE(AR83,AP83)</f>
        <v>13556</v>
      </c>
      <c r="AS85" s="16">
        <f>AVERAGE(AS83,AR83)</f>
        <v>13620</v>
      </c>
      <c r="AT85" s="16">
        <f t="shared" ref="AT85" si="327">AVERAGE(AT83,AS83)</f>
        <v>13684</v>
      </c>
      <c r="AU85" s="16">
        <f t="shared" ref="AU85" si="328">AVERAGE(AU83,AT83)</f>
        <v>13748</v>
      </c>
      <c r="AV85" s="6"/>
    </row>
    <row r="86" spans="1:48" outlineLevel="1" x14ac:dyDescent="0.3">
      <c r="B86" s="180" t="s">
        <v>48</v>
      </c>
      <c r="C86" s="201"/>
      <c r="D86" s="43">
        <f>+D87/D85</f>
        <v>3.5390488309209482E-2</v>
      </c>
      <c r="E86" s="114">
        <f>+E87/E85</f>
        <v>3.3197005941816495E-2</v>
      </c>
      <c r="F86" s="114">
        <f>+F87/F85</f>
        <v>3.335521038430686E-2</v>
      </c>
      <c r="G86" s="114">
        <f>+G87/G85</f>
        <v>3.468456004427227E-2</v>
      </c>
      <c r="H86" s="26"/>
      <c r="I86" s="114">
        <f t="shared" ref="I86:S86" si="329">+I87/I85</f>
        <v>3.4275333064190554E-2</v>
      </c>
      <c r="J86" s="114">
        <f t="shared" si="329"/>
        <v>2.97331136738056E-2</v>
      </c>
      <c r="K86" s="114">
        <f t="shared" si="329"/>
        <v>8.4784451835909474E-3</v>
      </c>
      <c r="L86" s="114">
        <f t="shared" si="329"/>
        <v>2.3837943303110294E-2</v>
      </c>
      <c r="M86" s="6"/>
      <c r="N86" s="114">
        <f t="shared" si="329"/>
        <v>2.2388397915250397E-2</v>
      </c>
      <c r="O86" s="114">
        <f t="shared" si="329"/>
        <v>2.5251509054325959E-2</v>
      </c>
      <c r="P86" s="114">
        <f t="shared" si="329"/>
        <v>2.6307940847520812E-2</v>
      </c>
      <c r="Q86" s="114">
        <f t="shared" si="329"/>
        <v>3.228337630310503E-2</v>
      </c>
      <c r="R86" s="6"/>
      <c r="S86" s="114">
        <f t="shared" si="329"/>
        <v>3.4036282331419275E-2</v>
      </c>
      <c r="T86" s="114">
        <f>+T87/T85</f>
        <v>3.4145855141817456E-2</v>
      </c>
      <c r="U86" s="114">
        <f>+U87/U85</f>
        <v>4.065425165040891E-2</v>
      </c>
      <c r="V86" s="62">
        <f>Q86*1.2</f>
        <v>3.8740051563726036E-2</v>
      </c>
      <c r="W86" s="130"/>
      <c r="X86" s="62">
        <f>S86*1.2</f>
        <v>4.0843538797703131E-2</v>
      </c>
      <c r="Y86" s="62">
        <f>T86*1.2</f>
        <v>4.0975026170180943E-2</v>
      </c>
      <c r="Z86" s="62">
        <f>U86*1.2</f>
        <v>4.8785101980490693E-2</v>
      </c>
      <c r="AA86" s="62">
        <f>V86*1.2</f>
        <v>4.648806187647124E-2</v>
      </c>
      <c r="AB86" s="6"/>
      <c r="AC86" s="62">
        <f>X86*1.05</f>
        <v>4.2885715737588287E-2</v>
      </c>
      <c r="AD86" s="62">
        <f>Y86*1.05</f>
        <v>4.302377747868999E-2</v>
      </c>
      <c r="AE86" s="62">
        <f>Z86*1.05</f>
        <v>5.1224357079515233E-2</v>
      </c>
      <c r="AF86" s="62">
        <f>AA86*1.05</f>
        <v>4.8812464970294803E-2</v>
      </c>
      <c r="AG86" s="6"/>
      <c r="AH86" s="62">
        <f>AC86*1.05</f>
        <v>4.5030001524467705E-2</v>
      </c>
      <c r="AI86" s="62">
        <f t="shared" ref="AI86:AK86" si="330">AD86*1.05</f>
        <v>4.5174966352624489E-2</v>
      </c>
      <c r="AJ86" s="62">
        <f t="shared" si="330"/>
        <v>5.3785574933490995E-2</v>
      </c>
      <c r="AK86" s="62">
        <f t="shared" si="330"/>
        <v>5.1253088218809542E-2</v>
      </c>
      <c r="AL86" s="6"/>
      <c r="AM86" s="62">
        <f>AH86*1.05</f>
        <v>4.7281501600691091E-2</v>
      </c>
      <c r="AN86" s="62">
        <f>AI86*1.05</f>
        <v>4.7433714670255714E-2</v>
      </c>
      <c r="AO86" s="62">
        <f>AJ86*1.05</f>
        <v>5.6474853680165547E-2</v>
      </c>
      <c r="AP86" s="62">
        <f>AK86*1.05</f>
        <v>5.3815742629750023E-2</v>
      </c>
      <c r="AQ86" s="6"/>
      <c r="AR86" s="62">
        <f>AM86*1.03</f>
        <v>4.8699946648711821E-2</v>
      </c>
      <c r="AS86" s="62">
        <f>AN86*1.03</f>
        <v>4.8856726110363388E-2</v>
      </c>
      <c r="AT86" s="62">
        <f>AO86*1.03</f>
        <v>5.8169099290570514E-2</v>
      </c>
      <c r="AU86" s="62">
        <f>AP86*1.03</f>
        <v>5.5430214908642528E-2</v>
      </c>
      <c r="AV86" s="6"/>
    </row>
    <row r="87" spans="1:48" s="8" customFormat="1" outlineLevel="1" x14ac:dyDescent="0.3">
      <c r="B87" s="456" t="s">
        <v>118</v>
      </c>
      <c r="C87" s="457"/>
      <c r="D87" s="115">
        <v>222.5</v>
      </c>
      <c r="E87" s="115">
        <v>215.1</v>
      </c>
      <c r="F87" s="115">
        <v>228.7</v>
      </c>
      <c r="G87" s="115">
        <v>250.7</v>
      </c>
      <c r="H87" s="73">
        <f>SUM(D87:G87)</f>
        <v>917</v>
      </c>
      <c r="I87" s="115">
        <v>254.7</v>
      </c>
      <c r="J87" s="115">
        <v>225.6</v>
      </c>
      <c r="K87" s="115">
        <v>65</v>
      </c>
      <c r="L87" s="72">
        <v>207.7</v>
      </c>
      <c r="M87" s="73">
        <f>SUM(I87:L87)</f>
        <v>753</v>
      </c>
      <c r="N87" s="72">
        <v>197.6</v>
      </c>
      <c r="O87" s="72">
        <v>200.8</v>
      </c>
      <c r="P87" s="72">
        <v>211.7</v>
      </c>
      <c r="Q87" s="115">
        <v>288</v>
      </c>
      <c r="R87" s="73">
        <f>SUM(N87:Q87)</f>
        <v>898.09999999999991</v>
      </c>
      <c r="S87" s="72">
        <v>334.9</v>
      </c>
      <c r="T87" s="72">
        <v>342.5</v>
      </c>
      <c r="U87" s="72">
        <v>412.6</v>
      </c>
      <c r="V87" s="72">
        <f t="shared" ref="V87" si="331">+V85*V86</f>
        <v>397.3179688375742</v>
      </c>
      <c r="W87" s="213">
        <f>SUM(S87:V87)</f>
        <v>1487.3179688375742</v>
      </c>
      <c r="X87" s="72">
        <f>+X85*X86</f>
        <v>426.77413689720004</v>
      </c>
      <c r="Y87" s="72">
        <f>+Y85*Y86</f>
        <v>437.81815462838335</v>
      </c>
      <c r="Z87" s="72">
        <f t="shared" ref="Z87:AA87" si="332">+Z85*Z86</f>
        <v>532.78209872893888</v>
      </c>
      <c r="AA87" s="72">
        <f t="shared" si="332"/>
        <v>518.71379441766612</v>
      </c>
      <c r="AB87" s="73">
        <f>SUM(X87:AA87)</f>
        <v>1916.0881846721884</v>
      </c>
      <c r="AC87" s="72">
        <f>+AC85*AC86</f>
        <v>488.85427369276886</v>
      </c>
      <c r="AD87" s="72">
        <f>+AD85*AD86</f>
        <v>500.92584118438754</v>
      </c>
      <c r="AE87" s="72">
        <f t="shared" ref="AE87:AF87" si="333">+AE85*AE86</f>
        <v>608.90393260419762</v>
      </c>
      <c r="AF87" s="72">
        <f t="shared" si="333"/>
        <v>592.19282501961652</v>
      </c>
      <c r="AG87" s="73">
        <f>SUM(AC87:AF87)</f>
        <v>2190.8768725009704</v>
      </c>
      <c r="AH87" s="72">
        <f>+AH85*AH86</f>
        <v>557.53896387519694</v>
      </c>
      <c r="AI87" s="72">
        <f>+AI85*AI86</f>
        <v>570.76311238223411</v>
      </c>
      <c r="AJ87" s="72">
        <f t="shared" ref="AJ87:AK87" si="334">+AJ85*AJ86</f>
        <v>693.16159695536521</v>
      </c>
      <c r="AK87" s="72">
        <f t="shared" si="334"/>
        <v>673.51683228337617</v>
      </c>
      <c r="AL87" s="73">
        <f>SUM(AH87:AK87)</f>
        <v>2494.9805054961726</v>
      </c>
      <c r="AM87" s="72">
        <f>+AM85*AM86</f>
        <v>628.84397128919147</v>
      </c>
      <c r="AN87" s="72">
        <f>+AN85*AN86</f>
        <v>633.90416285329741</v>
      </c>
      <c r="AO87" s="72">
        <f t="shared" ref="AO87:AP87" si="335">+AO85*AO86</f>
        <v>758.34433521726294</v>
      </c>
      <c r="AP87" s="72">
        <f t="shared" si="335"/>
        <v>726.08199956058729</v>
      </c>
      <c r="AQ87" s="73">
        <f>SUM(AM87:AP87)</f>
        <v>2747.1744689203388</v>
      </c>
      <c r="AR87" s="72">
        <f>+AR85*AR86</f>
        <v>660.17647676993749</v>
      </c>
      <c r="AS87" s="72">
        <f>+AS85*AS86</f>
        <v>665.42860962314933</v>
      </c>
      <c r="AT87" s="72">
        <f t="shared" ref="AT87:AU87" si="336">+AT85*AT86</f>
        <v>795.98595469216696</v>
      </c>
      <c r="AU87" s="72">
        <f t="shared" si="336"/>
        <v>762.05459456401752</v>
      </c>
      <c r="AV87" s="73">
        <f>SUM(AR87:AU87)</f>
        <v>2883.6456356492713</v>
      </c>
    </row>
    <row r="88" spans="1:48" s="8" customFormat="1" outlineLevel="1" x14ac:dyDescent="0.3">
      <c r="B88" s="438" t="s">
        <v>119</v>
      </c>
      <c r="C88" s="439"/>
      <c r="D88" s="103">
        <v>3.4</v>
      </c>
      <c r="E88" s="103">
        <v>4.9000000000000004</v>
      </c>
      <c r="F88" s="103">
        <v>3.8</v>
      </c>
      <c r="G88" s="103">
        <v>5.5</v>
      </c>
      <c r="H88" s="97">
        <f>SUM(D88:G88)</f>
        <v>17.600000000000001</v>
      </c>
      <c r="I88" s="103">
        <v>6.7</v>
      </c>
      <c r="J88" s="103">
        <v>6.6</v>
      </c>
      <c r="K88" s="103">
        <v>9.1</v>
      </c>
      <c r="L88" s="50">
        <v>5.3</v>
      </c>
      <c r="M88" s="97">
        <f>SUM(I88:L88)</f>
        <v>27.7</v>
      </c>
      <c r="N88" s="50">
        <v>15</v>
      </c>
      <c r="O88" s="50">
        <v>25.4</v>
      </c>
      <c r="P88" s="50">
        <v>13.4</v>
      </c>
      <c r="Q88" s="103">
        <v>16.600000000000001</v>
      </c>
      <c r="R88" s="97">
        <f>SUM(N88:Q88)</f>
        <v>70.400000000000006</v>
      </c>
      <c r="S88" s="50">
        <v>32.700000000000003</v>
      </c>
      <c r="T88" s="50">
        <v>19.5</v>
      </c>
      <c r="U88" s="50">
        <v>9.8000000000000007</v>
      </c>
      <c r="V88" s="50">
        <f t="shared" ref="V88" si="337">+Q88*(1+V89)</f>
        <v>12.118</v>
      </c>
      <c r="W88" s="132">
        <f>SUM(S88:V88)</f>
        <v>74.117999999999995</v>
      </c>
      <c r="X88" s="50">
        <f>+S88*(1+X89)</f>
        <v>26.160000000000004</v>
      </c>
      <c r="Y88" s="50">
        <f>+T88*(1+Y89)</f>
        <v>17.55</v>
      </c>
      <c r="Z88" s="50">
        <f>+U88*(1+Z89)</f>
        <v>10.290000000000001</v>
      </c>
      <c r="AA88" s="50">
        <f t="shared" ref="AA88" si="338">+V88*(1+AA89)</f>
        <v>12.7239</v>
      </c>
      <c r="AB88" s="97">
        <f>SUM(X88:AA88)</f>
        <v>66.723900000000015</v>
      </c>
      <c r="AC88" s="50">
        <f>+X88*(1+AC89)</f>
        <v>28.776000000000007</v>
      </c>
      <c r="AD88" s="50">
        <f>+Y88*(1+AD89)</f>
        <v>20.182500000000001</v>
      </c>
      <c r="AE88" s="50">
        <f>+Z88*(1+AE89)</f>
        <v>12.348000000000001</v>
      </c>
      <c r="AF88" s="50">
        <f t="shared" ref="AF88" si="339">+AA88*(1+AF89)</f>
        <v>15.26868</v>
      </c>
      <c r="AG88" s="97">
        <f>SUM(AC88:AF88)</f>
        <v>76.575180000000003</v>
      </c>
      <c r="AH88" s="50">
        <f>+AC88*(1+AH89)</f>
        <v>35.970000000000006</v>
      </c>
      <c r="AI88" s="50">
        <f>+AD88*(1+AI89)</f>
        <v>25.228125000000002</v>
      </c>
      <c r="AJ88" s="50">
        <f>+AE88*(1+AJ89)</f>
        <v>15.435</v>
      </c>
      <c r="AK88" s="50">
        <f t="shared" ref="AK88" si="340">+AF88*(1+AK89)</f>
        <v>19.085850000000001</v>
      </c>
      <c r="AL88" s="97">
        <f>SUM(AH88:AK88)</f>
        <v>95.718975</v>
      </c>
      <c r="AM88" s="50">
        <f>+AH88*(1+AM89)</f>
        <v>39.567000000000007</v>
      </c>
      <c r="AN88" s="50">
        <f>+AI88*(1+AN89)</f>
        <v>27.750937500000006</v>
      </c>
      <c r="AO88" s="50">
        <f>+AJ88*(1+AO89)</f>
        <v>16.9785</v>
      </c>
      <c r="AP88" s="50">
        <f t="shared" ref="AP88" si="341">+AK88*(1+AP89)</f>
        <v>20.994435000000003</v>
      </c>
      <c r="AQ88" s="97">
        <f>SUM(AM88:AP88)</f>
        <v>105.29087250000001</v>
      </c>
      <c r="AR88" s="50">
        <f>+AM88*(1+AR89)</f>
        <v>41.545350000000006</v>
      </c>
      <c r="AS88" s="50">
        <f>+AN88*(1+AS89)</f>
        <v>29.138484375000008</v>
      </c>
      <c r="AT88" s="50">
        <f>+AO88*(1+AT89)</f>
        <v>17.827425000000002</v>
      </c>
      <c r="AU88" s="50">
        <f t="shared" ref="AU88" si="342">+AP88*(1+AU89)</f>
        <v>22.044156750000003</v>
      </c>
      <c r="AV88" s="97">
        <f>SUM(AR88:AU88)</f>
        <v>110.55541612500002</v>
      </c>
    </row>
    <row r="89" spans="1:48" outlineLevel="1" x14ac:dyDescent="0.3">
      <c r="B89" s="69" t="s">
        <v>50</v>
      </c>
      <c r="C89" s="70"/>
      <c r="D89" s="120"/>
      <c r="E89" s="120"/>
      <c r="F89" s="120"/>
      <c r="G89" s="120"/>
      <c r="H89" s="58"/>
      <c r="I89" s="120">
        <f>I88/D88-1</f>
        <v>0.97058823529411775</v>
      </c>
      <c r="J89" s="120">
        <f t="shared" ref="J89:L89" si="343">J88/E88-1</f>
        <v>0.3469387755102038</v>
      </c>
      <c r="K89" s="120">
        <f t="shared" si="343"/>
        <v>1.3947368421052633</v>
      </c>
      <c r="L89" s="120">
        <f t="shared" si="343"/>
        <v>-3.6363636363636376E-2</v>
      </c>
      <c r="M89" s="58"/>
      <c r="N89" s="120">
        <f>N88/I88-1</f>
        <v>1.2388059701492535</v>
      </c>
      <c r="O89" s="120">
        <f t="shared" ref="O89:Q89" si="344">O88/J88-1</f>
        <v>2.8484848484848486</v>
      </c>
      <c r="P89" s="120">
        <f t="shared" si="344"/>
        <v>0.47252747252747263</v>
      </c>
      <c r="Q89" s="120">
        <f t="shared" si="344"/>
        <v>2.1320754716981134</v>
      </c>
      <c r="R89" s="58"/>
      <c r="S89" s="120">
        <f>S88/N88-1</f>
        <v>1.1800000000000002</v>
      </c>
      <c r="T89" s="120">
        <f t="shared" ref="T89:U89" si="345">T88/O88-1</f>
        <v>-0.23228346456692905</v>
      </c>
      <c r="U89" s="120">
        <f t="shared" si="345"/>
        <v>-0.26865671641791045</v>
      </c>
      <c r="V89" s="71">
        <v>-0.27</v>
      </c>
      <c r="W89" s="155"/>
      <c r="X89" s="71">
        <v>-0.2</v>
      </c>
      <c r="Y89" s="71">
        <v>-0.1</v>
      </c>
      <c r="Z89" s="71">
        <v>0.05</v>
      </c>
      <c r="AA89" s="71">
        <v>0.05</v>
      </c>
      <c r="AB89" s="58"/>
      <c r="AC89" s="71">
        <v>0.1</v>
      </c>
      <c r="AD89" s="71">
        <v>0.15</v>
      </c>
      <c r="AE89" s="71">
        <v>0.2</v>
      </c>
      <c r="AF89" s="71">
        <v>0.2</v>
      </c>
      <c r="AG89" s="58"/>
      <c r="AH89" s="71">
        <v>0.25</v>
      </c>
      <c r="AI89" s="71">
        <v>0.25</v>
      </c>
      <c r="AJ89" s="71">
        <v>0.25</v>
      </c>
      <c r="AK89" s="71">
        <v>0.25</v>
      </c>
      <c r="AL89" s="58"/>
      <c r="AM89" s="71">
        <v>0.1</v>
      </c>
      <c r="AN89" s="71">
        <v>0.1</v>
      </c>
      <c r="AO89" s="71">
        <v>0.1</v>
      </c>
      <c r="AP89" s="71">
        <v>0.1</v>
      </c>
      <c r="AQ89" s="58"/>
      <c r="AR89" s="71">
        <v>0.05</v>
      </c>
      <c r="AS89" s="71">
        <v>0.05</v>
      </c>
      <c r="AT89" s="71">
        <v>0.05</v>
      </c>
      <c r="AU89" s="71">
        <v>0.05</v>
      </c>
      <c r="AV89" s="58"/>
    </row>
    <row r="90" spans="1:48" outlineLevel="1" x14ac:dyDescent="0.3">
      <c r="B90" s="180" t="s">
        <v>120</v>
      </c>
      <c r="C90" s="207"/>
      <c r="D90" s="101">
        <f t="shared" ref="D90:G91" si="346">+D83+D74</f>
        <v>12212</v>
      </c>
      <c r="E90" s="101">
        <f t="shared" si="346"/>
        <v>12465</v>
      </c>
      <c r="F90" s="101">
        <f t="shared" si="346"/>
        <v>12773</v>
      </c>
      <c r="G90" s="101">
        <f t="shared" si="346"/>
        <v>13189</v>
      </c>
      <c r="H90" s="6"/>
      <c r="I90" s="101">
        <f t="shared" ref="I90:L91" si="347">+I83+I74</f>
        <v>13592</v>
      </c>
      <c r="J90" s="101">
        <f t="shared" si="347"/>
        <v>13779</v>
      </c>
      <c r="K90" s="101">
        <f t="shared" si="347"/>
        <v>13945</v>
      </c>
      <c r="L90" s="16">
        <f t="shared" si="347"/>
        <v>16263</v>
      </c>
      <c r="M90" s="6"/>
      <c r="N90" s="16">
        <f t="shared" ref="N90:Q91" si="348">+N83+N74</f>
        <v>14630</v>
      </c>
      <c r="O90" s="16">
        <f t="shared" si="348"/>
        <v>14823</v>
      </c>
      <c r="P90" s="16">
        <f t="shared" si="348"/>
        <v>15120</v>
      </c>
      <c r="Q90" s="16">
        <f t="shared" si="348"/>
        <v>17007</v>
      </c>
      <c r="R90" s="6"/>
      <c r="S90" s="16">
        <f t="shared" ref="S90:V91" si="349">+S83+S74</f>
        <v>17429</v>
      </c>
      <c r="T90" s="16">
        <f t="shared" si="349"/>
        <v>17704</v>
      </c>
      <c r="U90" s="16">
        <f t="shared" si="349"/>
        <v>17898</v>
      </c>
      <c r="V90" s="16">
        <f t="shared" si="349"/>
        <v>18298</v>
      </c>
      <c r="W90" s="254">
        <f>W91/Q90</f>
        <v>7.5909919444934443E-2</v>
      </c>
      <c r="X90" s="16">
        <f t="shared" ref="X90:AA91" si="350">+X83+X74</f>
        <v>18789</v>
      </c>
      <c r="Y90" s="16">
        <f t="shared" si="350"/>
        <v>19280</v>
      </c>
      <c r="Z90" s="16">
        <f t="shared" si="350"/>
        <v>19771</v>
      </c>
      <c r="AA90" s="16">
        <f t="shared" si="350"/>
        <v>20266</v>
      </c>
      <c r="AB90" s="254">
        <f>AB91/V90</f>
        <v>0.10755273800415346</v>
      </c>
      <c r="AC90" s="16">
        <f t="shared" ref="AC90:AF90" si="351">+AC83+AC74</f>
        <v>20774</v>
      </c>
      <c r="AD90" s="16">
        <f t="shared" si="351"/>
        <v>21282</v>
      </c>
      <c r="AE90" s="16">
        <f t="shared" si="351"/>
        <v>21790</v>
      </c>
      <c r="AF90" s="16">
        <f t="shared" si="351"/>
        <v>22304</v>
      </c>
      <c r="AG90" s="254">
        <f>AG91/AA90</f>
        <v>0.10056251850389815</v>
      </c>
      <c r="AH90" s="16">
        <f t="shared" ref="AH90:AK90" si="352">+AH83+AH74</f>
        <v>22831</v>
      </c>
      <c r="AI90" s="16">
        <f t="shared" si="352"/>
        <v>23358</v>
      </c>
      <c r="AJ90" s="16">
        <f t="shared" si="352"/>
        <v>23885</v>
      </c>
      <c r="AK90" s="16">
        <f t="shared" si="352"/>
        <v>24415</v>
      </c>
      <c r="AL90" s="254">
        <f>AL91/AF90</f>
        <v>9.4646700143472026E-2</v>
      </c>
      <c r="AM90" s="16">
        <f t="shared" ref="AM90:AP90" si="353">+AM83+AM74</f>
        <v>24609</v>
      </c>
      <c r="AN90" s="16">
        <f t="shared" si="353"/>
        <v>24803</v>
      </c>
      <c r="AO90" s="16">
        <f t="shared" si="353"/>
        <v>24997</v>
      </c>
      <c r="AP90" s="16">
        <f t="shared" si="353"/>
        <v>25191</v>
      </c>
      <c r="AQ90" s="254">
        <f>AQ91/AK90</f>
        <v>3.1783739504403032E-2</v>
      </c>
      <c r="AR90" s="16">
        <f t="shared" ref="AR90:AU90" si="354">+AR83+AR74</f>
        <v>25385</v>
      </c>
      <c r="AS90" s="16">
        <f t="shared" si="354"/>
        <v>25579</v>
      </c>
      <c r="AT90" s="16">
        <f t="shared" si="354"/>
        <v>25773</v>
      </c>
      <c r="AU90" s="16">
        <f t="shared" si="354"/>
        <v>25967</v>
      </c>
      <c r="AV90" s="254">
        <f>AV91/AP90</f>
        <v>3.080465245524195E-2</v>
      </c>
    </row>
    <row r="91" spans="1:48" outlineLevel="1" x14ac:dyDescent="0.3">
      <c r="B91" s="180" t="s">
        <v>121</v>
      </c>
      <c r="C91" s="207"/>
      <c r="D91" s="101">
        <f t="shared" si="346"/>
        <v>360</v>
      </c>
      <c r="E91" s="101">
        <f t="shared" si="346"/>
        <v>253</v>
      </c>
      <c r="F91" s="101">
        <f t="shared" si="346"/>
        <v>308</v>
      </c>
      <c r="G91" s="101">
        <f t="shared" si="346"/>
        <v>416</v>
      </c>
      <c r="H91" s="122">
        <f>+H84+H75</f>
        <v>1337</v>
      </c>
      <c r="I91" s="101">
        <f t="shared" si="347"/>
        <v>403</v>
      </c>
      <c r="J91" s="101">
        <f t="shared" si="347"/>
        <v>187</v>
      </c>
      <c r="K91" s="101">
        <f t="shared" si="347"/>
        <v>166</v>
      </c>
      <c r="L91" s="101">
        <f t="shared" si="347"/>
        <v>356</v>
      </c>
      <c r="M91" s="122">
        <f>+M84+M75</f>
        <v>1112</v>
      </c>
      <c r="N91" s="101">
        <f t="shared" si="348"/>
        <v>324</v>
      </c>
      <c r="O91" s="101">
        <f t="shared" si="348"/>
        <v>193</v>
      </c>
      <c r="P91" s="101">
        <f t="shared" si="348"/>
        <v>297</v>
      </c>
      <c r="Q91" s="101">
        <f t="shared" si="348"/>
        <v>464</v>
      </c>
      <c r="R91" s="122">
        <f>+R84+R75</f>
        <v>1278</v>
      </c>
      <c r="S91" s="16">
        <f t="shared" si="349"/>
        <v>422</v>
      </c>
      <c r="T91" s="16">
        <f t="shared" si="349"/>
        <v>275</v>
      </c>
      <c r="U91" s="16">
        <f t="shared" si="349"/>
        <v>194</v>
      </c>
      <c r="V91" s="16">
        <f t="shared" si="349"/>
        <v>400</v>
      </c>
      <c r="W91" s="122">
        <f>+W84+W75</f>
        <v>1291</v>
      </c>
      <c r="X91" s="16">
        <f t="shared" si="350"/>
        <v>491</v>
      </c>
      <c r="Y91" s="16">
        <f t="shared" si="350"/>
        <v>491</v>
      </c>
      <c r="Z91" s="16">
        <f t="shared" si="350"/>
        <v>491</v>
      </c>
      <c r="AA91" s="16">
        <f t="shared" si="350"/>
        <v>495</v>
      </c>
      <c r="AB91" s="26">
        <f>+AB84+AB75</f>
        <v>1968</v>
      </c>
      <c r="AC91" s="16">
        <f t="shared" ref="AC91:AF91" si="355">+AC84+AC75</f>
        <v>508</v>
      </c>
      <c r="AD91" s="16">
        <f t="shared" si="355"/>
        <v>508</v>
      </c>
      <c r="AE91" s="16">
        <f t="shared" si="355"/>
        <v>508</v>
      </c>
      <c r="AF91" s="16">
        <f t="shared" si="355"/>
        <v>514</v>
      </c>
      <c r="AG91" s="26">
        <f>+AG84+AG75</f>
        <v>2038</v>
      </c>
      <c r="AH91" s="16">
        <f t="shared" ref="AH91:AK91" si="356">+AH84+AH75</f>
        <v>527</v>
      </c>
      <c r="AI91" s="16">
        <f t="shared" si="356"/>
        <v>527</v>
      </c>
      <c r="AJ91" s="16">
        <f t="shared" si="356"/>
        <v>527</v>
      </c>
      <c r="AK91" s="16">
        <f t="shared" si="356"/>
        <v>530</v>
      </c>
      <c r="AL91" s="26">
        <f>+AL84+AL75</f>
        <v>2111</v>
      </c>
      <c r="AM91" s="16">
        <f t="shared" ref="AM91:AP91" si="357">+AM84+AM75</f>
        <v>194</v>
      </c>
      <c r="AN91" s="16">
        <f t="shared" si="357"/>
        <v>194</v>
      </c>
      <c r="AO91" s="16">
        <f t="shared" si="357"/>
        <v>194</v>
      </c>
      <c r="AP91" s="16">
        <f t="shared" si="357"/>
        <v>194</v>
      </c>
      <c r="AQ91" s="26">
        <f>+AQ84+AQ75</f>
        <v>776</v>
      </c>
      <c r="AR91" s="16">
        <f t="shared" ref="AR91:AU91" si="358">+AR84+AR75</f>
        <v>194</v>
      </c>
      <c r="AS91" s="16">
        <f t="shared" si="358"/>
        <v>194</v>
      </c>
      <c r="AT91" s="16">
        <f t="shared" si="358"/>
        <v>194</v>
      </c>
      <c r="AU91" s="16">
        <f t="shared" si="358"/>
        <v>194</v>
      </c>
      <c r="AV91" s="26">
        <f>+AV84+AV75</f>
        <v>776</v>
      </c>
    </row>
    <row r="92" spans="1:48" outlineLevel="1" x14ac:dyDescent="0.3">
      <c r="B92" s="452" t="s">
        <v>122</v>
      </c>
      <c r="C92" s="453"/>
      <c r="D92" s="115">
        <f>+D88+D87+D78</f>
        <v>1504</v>
      </c>
      <c r="E92" s="115">
        <f>+E88+E87+E78</f>
        <v>1529.4</v>
      </c>
      <c r="F92" s="115">
        <f>+F88+F87+F78</f>
        <v>1585.3</v>
      </c>
      <c r="G92" s="115">
        <f>+G88+G87+G78</f>
        <v>1572.1000000000001</v>
      </c>
      <c r="H92" s="213">
        <f>SUM(D92:G92)</f>
        <v>6190.8</v>
      </c>
      <c r="I92" s="115">
        <f>+I88+I87+I78</f>
        <v>1571.1</v>
      </c>
      <c r="J92" s="115">
        <f>+J88+J87+J78</f>
        <v>1134.5999999999999</v>
      </c>
      <c r="K92" s="115">
        <f>+K88+K87+K78</f>
        <v>949.6</v>
      </c>
      <c r="L92" s="115">
        <f>+L88+L87+L78</f>
        <v>1511.3</v>
      </c>
      <c r="M92" s="213">
        <f>SUM(I92:L92)</f>
        <v>5166.5999999999995</v>
      </c>
      <c r="N92" s="115">
        <f>+N88+N87+N78</f>
        <v>1654.3</v>
      </c>
      <c r="O92" s="115">
        <f>+O88+O87+O78</f>
        <v>1610.9</v>
      </c>
      <c r="P92" s="115">
        <f>+P88+P87+P78</f>
        <v>1658.3999999999999</v>
      </c>
      <c r="Q92" s="115">
        <f>+Q88+Q87+Q78</f>
        <v>1914.6</v>
      </c>
      <c r="R92" s="73">
        <f>SUM(N92:Q92)</f>
        <v>6838.1999999999989</v>
      </c>
      <c r="S92" s="72">
        <f>+S88+S87+S78</f>
        <v>1875.8999999999999</v>
      </c>
      <c r="T92" s="72">
        <f>+T88+T87+T78</f>
        <v>1702.4</v>
      </c>
      <c r="U92" s="72">
        <f>+U88+U87+U78</f>
        <v>1584.7</v>
      </c>
      <c r="V92" s="72">
        <f>+V88+V87+V78</f>
        <v>1823.5761158449245</v>
      </c>
      <c r="W92" s="213">
        <f>SUM(S92:V92)</f>
        <v>6986.5761158449241</v>
      </c>
      <c r="X92" s="72">
        <f>+X88+X87+X78</f>
        <v>1859.3980790941234</v>
      </c>
      <c r="Y92" s="72">
        <f>+Y88+Y87+Y78</f>
        <v>1866.2076331315682</v>
      </c>
      <c r="Z92" s="72">
        <f>+Z88+Z87+Z78</f>
        <v>2111.4480030676737</v>
      </c>
      <c r="AA92" s="72">
        <f>+AA88+AA87+AA78</f>
        <v>2448.803994732682</v>
      </c>
      <c r="AB92" s="73">
        <f>SUM(X92:AA92)</f>
        <v>8285.8577100260463</v>
      </c>
      <c r="AC92" s="72">
        <f>+AC88+AC87+AC78</f>
        <v>2419.4190364494266</v>
      </c>
      <c r="AD92" s="72">
        <f>+AD88+AD87+AD78</f>
        <v>2186.2098360092286</v>
      </c>
      <c r="AE92" s="72">
        <f>+AE88+AE87+AE78</f>
        <v>2467.9509919350912</v>
      </c>
      <c r="AF92" s="72">
        <f>+AF88+AF87+AF78</f>
        <v>2860.2938746380978</v>
      </c>
      <c r="AG92" s="73">
        <f>SUM(AC92:AF92)</f>
        <v>9933.8737390318456</v>
      </c>
      <c r="AH92" s="72">
        <f>+AH88+AH87+AH78</f>
        <v>2823.5496780854023</v>
      </c>
      <c r="AI92" s="72">
        <f>+AI88+AI87+AI78</f>
        <v>2544.6124113472024</v>
      </c>
      <c r="AJ92" s="72">
        <f>+AJ88+AJ87+AJ78</f>
        <v>2865.6689451780521</v>
      </c>
      <c r="AK92" s="72">
        <f>+AK88+AK87+AK78</f>
        <v>3319.0780362910773</v>
      </c>
      <c r="AL92" s="73">
        <f>SUM(AH92:AK92)</f>
        <v>11552.909070901733</v>
      </c>
      <c r="AM92" s="72">
        <f>+AM88+AM87+AM78</f>
        <v>3245.8090973554649</v>
      </c>
      <c r="AN92" s="72">
        <f>+AN88+AN87+AN78</f>
        <v>2880.2329610479633</v>
      </c>
      <c r="AO92" s="72">
        <f>+AO88+AO87+AO78</f>
        <v>3195.9703736699548</v>
      </c>
      <c r="AP92" s="72">
        <f>+AP88+AP87+AP78</f>
        <v>3653.4244598178502</v>
      </c>
      <c r="AQ92" s="73">
        <f>SUM(AM92:AP92)</f>
        <v>12975.436891891233</v>
      </c>
      <c r="AR92" s="72">
        <f>+AR88+AR87+AR78</f>
        <v>3479.5648395651397</v>
      </c>
      <c r="AS92" s="72">
        <f>+AS88+AS87+AS78</f>
        <v>3084.4695539758368</v>
      </c>
      <c r="AT92" s="72">
        <f>+AT88+AT87+AT78</f>
        <v>3420.0945372547908</v>
      </c>
      <c r="AU92" s="72">
        <f>+AU88+AU87+AU78</f>
        <v>3911.8071882243435</v>
      </c>
      <c r="AV92" s="73">
        <f>SUM(AR92:AU92)</f>
        <v>13895.936119020111</v>
      </c>
    </row>
    <row r="93" spans="1:48" outlineLevel="1" x14ac:dyDescent="0.3">
      <c r="B93" s="458" t="s">
        <v>100</v>
      </c>
      <c r="C93" s="459"/>
      <c r="D93" s="105">
        <v>462.7</v>
      </c>
      <c r="E93" s="105">
        <v>470.2</v>
      </c>
      <c r="F93" s="105">
        <v>476.1</v>
      </c>
      <c r="G93" s="105">
        <v>486.1</v>
      </c>
      <c r="H93" s="129">
        <f>SUM(D93:G93)</f>
        <v>1895.1</v>
      </c>
      <c r="I93" s="105">
        <v>488.5</v>
      </c>
      <c r="J93" s="105">
        <v>387.7</v>
      </c>
      <c r="K93" s="105">
        <v>337.7</v>
      </c>
      <c r="L93" s="105">
        <v>479.2</v>
      </c>
      <c r="M93" s="129">
        <f>SUM(I93:L93)</f>
        <v>1693.1000000000001</v>
      </c>
      <c r="N93" s="105">
        <v>520.4</v>
      </c>
      <c r="O93" s="105">
        <v>513.5</v>
      </c>
      <c r="P93" s="105">
        <v>501.7</v>
      </c>
      <c r="Q93" s="105">
        <v>605.1</v>
      </c>
      <c r="R93" s="76">
        <f>SUM(N93:Q93)</f>
        <v>2140.7000000000003</v>
      </c>
      <c r="S93" s="48">
        <v>615.79999999999995</v>
      </c>
      <c r="T93" s="48">
        <v>580.5</v>
      </c>
      <c r="U93" s="48">
        <v>550.29999999999995</v>
      </c>
      <c r="V93" s="48">
        <f t="shared" ref="V93" si="359">V94*V92</f>
        <v>631.03962845485455</v>
      </c>
      <c r="W93" s="76">
        <f>SUM(S93:V93)</f>
        <v>2377.6396284548546</v>
      </c>
      <c r="X93" s="48">
        <f>X94*X92</f>
        <v>647.57089089909618</v>
      </c>
      <c r="Y93" s="48">
        <f>Y94*Y92</f>
        <v>617.69455608931128</v>
      </c>
      <c r="Z93" s="48">
        <f t="shared" ref="Z93:AA93" si="360">Z94*Z92</f>
        <v>722.66030026871579</v>
      </c>
      <c r="AA93" s="48">
        <f t="shared" si="360"/>
        <v>835.15266918449061</v>
      </c>
      <c r="AB93" s="76">
        <f>SUM(X93:AA93)</f>
        <v>2823.0784164416136</v>
      </c>
      <c r="AC93" s="48">
        <f>AC94*AC92</f>
        <v>794.22050356925035</v>
      </c>
      <c r="AD93" s="48">
        <f>AD94*AD92</f>
        <v>679.88762985120638</v>
      </c>
      <c r="AE93" s="48">
        <f t="shared" ref="AE93:AF93" si="361">AE94*AE92</f>
        <v>844.6763558889902</v>
      </c>
      <c r="AF93" s="48">
        <f t="shared" si="361"/>
        <v>975.4892875029069</v>
      </c>
      <c r="AG93" s="76">
        <f>SUM(AC93:AF93)</f>
        <v>3294.2737768123538</v>
      </c>
      <c r="AH93" s="48">
        <f>AH94*AH92</f>
        <v>921.23700521496335</v>
      </c>
      <c r="AI93" s="48">
        <f>AI94*AI92</f>
        <v>786.25773224657632</v>
      </c>
      <c r="AJ93" s="48">
        <f t="shared" ref="AJ93:AK93" si="362">AJ94*AJ92</f>
        <v>952.14187976912149</v>
      </c>
      <c r="AK93" s="48">
        <f t="shared" si="362"/>
        <v>1125.3172340699036</v>
      </c>
      <c r="AL93" s="76">
        <f>SUM(AH93:AK93)</f>
        <v>3784.9538513005646</v>
      </c>
      <c r="AM93" s="48">
        <f>AM94*AM92</f>
        <v>1059.0072048510247</v>
      </c>
      <c r="AN93" s="48">
        <f>AN94*AN92</f>
        <v>889.96085462636563</v>
      </c>
      <c r="AO93" s="48">
        <f t="shared" ref="AO93:AP93" si="363">AO94*AO92</f>
        <v>1061.887223362942</v>
      </c>
      <c r="AP93" s="48">
        <f t="shared" si="363"/>
        <v>1238.6757596696061</v>
      </c>
      <c r="AQ93" s="76">
        <f>SUM(AM93:AP93)</f>
        <v>4249.5310425099387</v>
      </c>
      <c r="AR93" s="48">
        <f>AR94*AR92</f>
        <v>1135.2744798971867</v>
      </c>
      <c r="AS93" s="48">
        <f>AS94*AS92</f>
        <v>953.06775439670002</v>
      </c>
      <c r="AT93" s="48">
        <f t="shared" ref="AT93:AU93" si="364">AT94*AT92</f>
        <v>1136.354304697101</v>
      </c>
      <c r="AU93" s="48">
        <f t="shared" si="364"/>
        <v>1326.2791646159824</v>
      </c>
      <c r="AV93" s="76">
        <f>SUM(AR93:AU93)</f>
        <v>4550.9757036069695</v>
      </c>
    </row>
    <row r="94" spans="1:48" s="183" customFormat="1" outlineLevel="1" x14ac:dyDescent="0.3">
      <c r="A94" s="238"/>
      <c r="B94" s="181" t="s">
        <v>151</v>
      </c>
      <c r="C94" s="182"/>
      <c r="D94" s="167">
        <f>D93/D92</f>
        <v>0.30764627659574467</v>
      </c>
      <c r="E94" s="167">
        <f t="shared" ref="E94:U94" si="365">E93/E92</f>
        <v>0.30744082646789589</v>
      </c>
      <c r="F94" s="167">
        <f t="shared" si="365"/>
        <v>0.30032170567085098</v>
      </c>
      <c r="G94" s="167">
        <f t="shared" si="365"/>
        <v>0.30920424909356908</v>
      </c>
      <c r="H94" s="186">
        <f>H93/H92</f>
        <v>0.30611552626477995</v>
      </c>
      <c r="I94" s="167">
        <f t="shared" si="365"/>
        <v>0.31092864871745912</v>
      </c>
      <c r="J94" s="167">
        <f t="shared" si="365"/>
        <v>0.34170632822139962</v>
      </c>
      <c r="K94" s="167">
        <f t="shared" si="365"/>
        <v>0.35562342038753159</v>
      </c>
      <c r="L94" s="167">
        <f t="shared" si="365"/>
        <v>0.31707801230728511</v>
      </c>
      <c r="M94" s="186">
        <f>M93/M92</f>
        <v>0.32770100259358192</v>
      </c>
      <c r="N94" s="167">
        <f t="shared" si="365"/>
        <v>0.31457414011968809</v>
      </c>
      <c r="O94" s="167">
        <f t="shared" si="365"/>
        <v>0.31876590725681292</v>
      </c>
      <c r="P94" s="167">
        <f t="shared" si="365"/>
        <v>0.30252050168837435</v>
      </c>
      <c r="Q94" s="167">
        <f t="shared" si="365"/>
        <v>0.31604512691946102</v>
      </c>
      <c r="R94" s="188">
        <f>R93/R92</f>
        <v>0.31305021789359783</v>
      </c>
      <c r="S94" s="167">
        <f t="shared" si="365"/>
        <v>0.32826909749986671</v>
      </c>
      <c r="T94" s="167">
        <f t="shared" si="365"/>
        <v>0.34098919172932329</v>
      </c>
      <c r="U94" s="167">
        <f t="shared" si="365"/>
        <v>0.34725815611787714</v>
      </c>
      <c r="V94" s="189">
        <f>Q94+3%</f>
        <v>0.34604512691946099</v>
      </c>
      <c r="W94" s="188">
        <f>W93/W92</f>
        <v>0.34031542618745431</v>
      </c>
      <c r="X94" s="189">
        <f>S94+2%</f>
        <v>0.34826909749986673</v>
      </c>
      <c r="Y94" s="189">
        <f>T94-1%</f>
        <v>0.33098919172932328</v>
      </c>
      <c r="Z94" s="189">
        <f>U94-0.5%</f>
        <v>0.34225815611787713</v>
      </c>
      <c r="AA94" s="189">
        <f>V94-0.5%</f>
        <v>0.34104512691946098</v>
      </c>
      <c r="AB94" s="188">
        <f>AB93/AB92</f>
        <v>0.34071046296458057</v>
      </c>
      <c r="AC94" s="189">
        <f>X94-2%</f>
        <v>0.32826909749986671</v>
      </c>
      <c r="AD94" s="189">
        <f>Y94-2%</f>
        <v>0.31098919172932327</v>
      </c>
      <c r="AE94" s="189">
        <f t="shared" ref="AE94" si="366">Z94</f>
        <v>0.34225815611787713</v>
      </c>
      <c r="AF94" s="189">
        <f t="shared" ref="AF94" si="367">AA94</f>
        <v>0.34104512691946098</v>
      </c>
      <c r="AG94" s="188">
        <f>AG93/AG92</f>
        <v>0.33162025845653775</v>
      </c>
      <c r="AH94" s="189">
        <f>AC94-0.2%</f>
        <v>0.32626909749986671</v>
      </c>
      <c r="AI94" s="189">
        <f>AD94-0.2%</f>
        <v>0.30898919172932326</v>
      </c>
      <c r="AJ94" s="189">
        <f>AE94-1%</f>
        <v>0.33225815611787712</v>
      </c>
      <c r="AK94" s="189">
        <f>AF94-0.2%</f>
        <v>0.33904512691946098</v>
      </c>
      <c r="AL94" s="188">
        <f>AL93/AL92</f>
        <v>0.32761911550344608</v>
      </c>
      <c r="AM94" s="189">
        <f>AH94</f>
        <v>0.32626909749986671</v>
      </c>
      <c r="AN94" s="189">
        <f t="shared" ref="AN94" si="368">AI94</f>
        <v>0.30898919172932326</v>
      </c>
      <c r="AO94" s="189">
        <f t="shared" ref="AO94" si="369">AJ94</f>
        <v>0.33225815611787712</v>
      </c>
      <c r="AP94" s="189">
        <f t="shared" ref="AP94" si="370">AK94</f>
        <v>0.33904512691946098</v>
      </c>
      <c r="AQ94" s="188">
        <f>AQ93/AQ92</f>
        <v>0.32750581563581932</v>
      </c>
      <c r="AR94" s="189">
        <f>AM94</f>
        <v>0.32626909749986671</v>
      </c>
      <c r="AS94" s="189">
        <f t="shared" ref="AS94" si="371">AN94</f>
        <v>0.30898919172932326</v>
      </c>
      <c r="AT94" s="189">
        <f t="shared" ref="AT94" si="372">AO94</f>
        <v>0.33225815611787712</v>
      </c>
      <c r="AU94" s="189">
        <f t="shared" ref="AU94" si="373">AP94</f>
        <v>0.33904512691946098</v>
      </c>
      <c r="AV94" s="188">
        <f>AV93/AV92</f>
        <v>0.32750407490559819</v>
      </c>
    </row>
    <row r="95" spans="1:48" outlineLevel="1" x14ac:dyDescent="0.3">
      <c r="B95" s="180" t="s">
        <v>32</v>
      </c>
      <c r="C95" s="18"/>
      <c r="D95" s="105">
        <v>603.70000000000005</v>
      </c>
      <c r="E95" s="105">
        <v>618.4</v>
      </c>
      <c r="F95" s="105">
        <v>609.20000000000005</v>
      </c>
      <c r="G95" s="105">
        <v>597.29999999999995</v>
      </c>
      <c r="H95" s="170">
        <f>SUM(D95:G95)</f>
        <v>2428.6</v>
      </c>
      <c r="I95" s="105">
        <v>607.1</v>
      </c>
      <c r="J95" s="105">
        <v>562.79999999999995</v>
      </c>
      <c r="K95" s="105">
        <v>483.4</v>
      </c>
      <c r="L95" s="105">
        <v>622.70000000000005</v>
      </c>
      <c r="M95" s="170">
        <f>SUM(I95:L95)</f>
        <v>2276</v>
      </c>
      <c r="N95" s="105">
        <v>628.5</v>
      </c>
      <c r="O95" s="105">
        <v>620.20000000000005</v>
      </c>
      <c r="P95" s="105">
        <v>620.1</v>
      </c>
      <c r="Q95" s="105">
        <v>702.6</v>
      </c>
      <c r="R95" s="49">
        <f>SUM(N95:Q95)</f>
        <v>2571.4</v>
      </c>
      <c r="S95" s="48">
        <v>697.6</v>
      </c>
      <c r="T95" s="48">
        <v>689.3</v>
      </c>
      <c r="U95" s="48">
        <v>632.5</v>
      </c>
      <c r="V95" s="48">
        <f>V96*V78</f>
        <v>687.83425411270559</v>
      </c>
      <c r="W95" s="49">
        <f>SUM(S95:V95)</f>
        <v>2707.2342541127055</v>
      </c>
      <c r="X95" s="48">
        <f>X96*X78</f>
        <v>678.62934254252229</v>
      </c>
      <c r="Y95" s="48">
        <f>Y96*Y78</f>
        <v>711.4150702494693</v>
      </c>
      <c r="Z95" s="48">
        <f>Z96*Z78</f>
        <v>845.63636146105591</v>
      </c>
      <c r="AA95" s="48">
        <f>AA96*AA78</f>
        <v>923.01537332866644</v>
      </c>
      <c r="AB95" s="49">
        <f>SUM(X95:AA95)</f>
        <v>3158.6961475817138</v>
      </c>
      <c r="AC95" s="48">
        <f>AC96*AC78</f>
        <v>917.62726295588539</v>
      </c>
      <c r="AD95" s="48">
        <f>AD96*AD78</f>
        <v>806.32452929936312</v>
      </c>
      <c r="AE95" s="48">
        <f>AE96*AE78</f>
        <v>995.70254103371667</v>
      </c>
      <c r="AF95" s="48">
        <f>AF96*AF78</f>
        <v>1084.5079056352818</v>
      </c>
      <c r="AG95" s="49">
        <f>SUM(AC95:AF95)</f>
        <v>3804.1622389242466</v>
      </c>
      <c r="AH95" s="48">
        <f>AH96*AH78</f>
        <v>1071.5511964459445</v>
      </c>
      <c r="AI95" s="48">
        <f>AI96*AI78</f>
        <v>939.72154351194274</v>
      </c>
      <c r="AJ95" s="48">
        <f>AJ96*AJ78</f>
        <v>1119.9080534219811</v>
      </c>
      <c r="AK95" s="48">
        <f>AK96*AK78</f>
        <v>1259.1257593066855</v>
      </c>
      <c r="AL95" s="49">
        <f>SUM(AH95:AK95)</f>
        <v>4390.3065526865539</v>
      </c>
      <c r="AM95" s="48">
        <f>AM96*AM78</f>
        <v>1238.4590236873676</v>
      </c>
      <c r="AN95" s="48">
        <f>AN96*AN78</f>
        <v>1069.9080147072732</v>
      </c>
      <c r="AO95" s="48">
        <f>AO96*AO78</f>
        <v>1256.7509268026661</v>
      </c>
      <c r="AP95" s="48">
        <f>AP96*AP78</f>
        <v>1393.2960225678964</v>
      </c>
      <c r="AQ95" s="49">
        <f>SUM(AM95:AP95)</f>
        <v>4958.4139877652033</v>
      </c>
      <c r="AR95" s="48">
        <f>AR96*AR78</f>
        <v>1334.7742868245809</v>
      </c>
      <c r="AS95" s="48">
        <f>AS96*AS78</f>
        <v>1152.5292132402931</v>
      </c>
      <c r="AT95" s="48">
        <f>AT96*AT78</f>
        <v>1353.1281230512636</v>
      </c>
      <c r="AU95" s="48">
        <f>AU96*AU78</f>
        <v>1499.4156539506191</v>
      </c>
      <c r="AV95" s="49">
        <f>SUM(AR95:AU95)</f>
        <v>5339.8472770667568</v>
      </c>
    </row>
    <row r="96" spans="1:48" s="184" customFormat="1" outlineLevel="1" x14ac:dyDescent="0.3">
      <c r="B96" s="181" t="s">
        <v>150</v>
      </c>
      <c r="C96" s="190"/>
      <c r="D96" s="167">
        <f t="shared" ref="D96:U96" si="374">D95/D78</f>
        <v>0.47234175729598632</v>
      </c>
      <c r="E96" s="167">
        <f t="shared" si="374"/>
        <v>0.4722773789521918</v>
      </c>
      <c r="F96" s="167">
        <f t="shared" si="374"/>
        <v>0.45032525133057366</v>
      </c>
      <c r="G96" s="167">
        <f t="shared" si="374"/>
        <v>0.45390987157078799</v>
      </c>
      <c r="H96" s="186">
        <f t="shared" si="374"/>
        <v>0.46204482325634483</v>
      </c>
      <c r="I96" s="167">
        <f t="shared" si="374"/>
        <v>0.46354126899289916</v>
      </c>
      <c r="J96" s="167">
        <f t="shared" si="374"/>
        <v>0.62367021276595747</v>
      </c>
      <c r="K96" s="167">
        <f t="shared" si="374"/>
        <v>0.5521416333523701</v>
      </c>
      <c r="L96" s="167">
        <f t="shared" si="374"/>
        <v>0.47962720480628518</v>
      </c>
      <c r="M96" s="186">
        <f t="shared" si="374"/>
        <v>0.51893568024806769</v>
      </c>
      <c r="N96" s="167">
        <f t="shared" si="374"/>
        <v>0.43594367760282998</v>
      </c>
      <c r="O96" s="167">
        <f t="shared" si="374"/>
        <v>0.44789485087022463</v>
      </c>
      <c r="P96" s="167">
        <f t="shared" si="374"/>
        <v>0.4326379683248448</v>
      </c>
      <c r="Q96" s="167">
        <f t="shared" si="374"/>
        <v>0.43639751552795031</v>
      </c>
      <c r="R96" s="188">
        <f t="shared" si="374"/>
        <v>0.43808031074841985</v>
      </c>
      <c r="S96" s="167">
        <f t="shared" si="374"/>
        <v>0.46250745872836974</v>
      </c>
      <c r="T96" s="167">
        <f t="shared" si="374"/>
        <v>0.51424947776783048</v>
      </c>
      <c r="U96" s="167">
        <f t="shared" si="374"/>
        <v>0.54417964380968775</v>
      </c>
      <c r="V96" s="189">
        <f>Q96+5%</f>
        <v>0.4863975155279503</v>
      </c>
      <c r="W96" s="188">
        <f>W95/W78</f>
        <v>0.49901646423016127</v>
      </c>
      <c r="X96" s="189">
        <f>S96+2%</f>
        <v>0.48250745872836975</v>
      </c>
      <c r="Y96" s="189">
        <f>T96-1%</f>
        <v>0.50424947776783047</v>
      </c>
      <c r="Z96" s="189">
        <f>U96-0.5%</f>
        <v>0.53917964380968775</v>
      </c>
      <c r="AA96" s="189">
        <f>V96-0.5%</f>
        <v>0.48139751552795029</v>
      </c>
      <c r="AB96" s="188">
        <f>AB95/AB78</f>
        <v>0.50113807440579672</v>
      </c>
      <c r="AC96" s="189">
        <f>X96</f>
        <v>0.48250745872836975</v>
      </c>
      <c r="AD96" s="189">
        <f>Y96-2%</f>
        <v>0.48424947776783045</v>
      </c>
      <c r="AE96" s="189">
        <f t="shared" ref="AE96" si="375">Z96</f>
        <v>0.53917964380968775</v>
      </c>
      <c r="AF96" s="189">
        <f t="shared" ref="AF96" si="376">AA96</f>
        <v>0.48139751552795029</v>
      </c>
      <c r="AG96" s="188">
        <f>AG95/AG78</f>
        <v>0.49621093053200743</v>
      </c>
      <c r="AH96" s="189">
        <f>AC96-0.2%</f>
        <v>0.48050745872836975</v>
      </c>
      <c r="AI96" s="189">
        <f>AD96-0.2%</f>
        <v>0.48224947776783045</v>
      </c>
      <c r="AJ96" s="189">
        <f>AE96-2%</f>
        <v>0.51917964380968773</v>
      </c>
      <c r="AK96" s="189">
        <f>AF96-0.2%</f>
        <v>0.47939751552795029</v>
      </c>
      <c r="AL96" s="188">
        <f>AL95/AL78</f>
        <v>0.48986876600013574</v>
      </c>
      <c r="AM96" s="189">
        <f>AH96</f>
        <v>0.48050745872836975</v>
      </c>
      <c r="AN96" s="189">
        <f t="shared" ref="AN96" si="377">AI96</f>
        <v>0.48224947776783045</v>
      </c>
      <c r="AO96" s="189">
        <f t="shared" ref="AO96" si="378">AJ96</f>
        <v>0.51917964380968773</v>
      </c>
      <c r="AP96" s="189">
        <f t="shared" ref="AP96" si="379">AK96</f>
        <v>0.47939751552795029</v>
      </c>
      <c r="AQ96" s="188">
        <f>AQ95/AQ78</f>
        <v>0.48981803051047301</v>
      </c>
      <c r="AR96" s="189">
        <f>AM96</f>
        <v>0.48050745872836975</v>
      </c>
      <c r="AS96" s="189">
        <f t="shared" ref="AS96" si="380">AN96</f>
        <v>0.48224947776783045</v>
      </c>
      <c r="AT96" s="189">
        <f t="shared" ref="AT96" si="381">AO96</f>
        <v>0.51917964380968773</v>
      </c>
      <c r="AU96" s="189">
        <f t="shared" ref="AU96" si="382">AP96</f>
        <v>0.47939751552795029</v>
      </c>
      <c r="AV96" s="188">
        <f>AV95/AV78</f>
        <v>0.48981627641184178</v>
      </c>
    </row>
    <row r="97" spans="1:48" outlineLevel="1" x14ac:dyDescent="0.3">
      <c r="B97" s="180" t="s">
        <v>33</v>
      </c>
      <c r="C97" s="18"/>
      <c r="D97" s="105">
        <v>31.3</v>
      </c>
      <c r="E97" s="105">
        <v>26.3</v>
      </c>
      <c r="F97" s="105">
        <v>26.7</v>
      </c>
      <c r="G97" s="105">
        <v>31.9</v>
      </c>
      <c r="H97" s="170">
        <f>SUM(D97:G97)</f>
        <v>116.19999999999999</v>
      </c>
      <c r="I97" s="105">
        <v>35.9</v>
      </c>
      <c r="J97" s="105">
        <v>31.8</v>
      </c>
      <c r="K97" s="105">
        <v>37.5</v>
      </c>
      <c r="L97" s="105">
        <v>39.9</v>
      </c>
      <c r="M97" s="170">
        <f>SUM(I97:L97)</f>
        <v>145.1</v>
      </c>
      <c r="N97" s="105">
        <v>34.299999999999997</v>
      </c>
      <c r="O97" s="105">
        <v>29.3</v>
      </c>
      <c r="P97" s="105">
        <v>38.299999999999997</v>
      </c>
      <c r="Q97" s="105">
        <v>39.799999999999997</v>
      </c>
      <c r="R97" s="49">
        <f>SUM(N97:Q97)</f>
        <v>141.69999999999999</v>
      </c>
      <c r="S97" s="48">
        <v>39.200000000000003</v>
      </c>
      <c r="T97" s="48">
        <v>39.5</v>
      </c>
      <c r="U97" s="48">
        <v>60.2</v>
      </c>
      <c r="V97" s="48">
        <f t="shared" ref="V97" si="383">V98*V92</f>
        <v>37.907829003775198</v>
      </c>
      <c r="W97" s="49">
        <f>SUM(S97:V97)</f>
        <v>176.8078290037752</v>
      </c>
      <c r="X97" s="48">
        <f>X98*X92</f>
        <v>38.855165360887916</v>
      </c>
      <c r="Y97" s="48">
        <f>Y98*Y92</f>
        <v>43.300752765916904</v>
      </c>
      <c r="Z97" s="48">
        <f t="shared" ref="Z97:AA97" si="384">Z98*Z92</f>
        <v>69.653001534907077</v>
      </c>
      <c r="AA97" s="48">
        <f t="shared" si="384"/>
        <v>50.904835992040496</v>
      </c>
      <c r="AB97" s="49">
        <f>SUM(X97:AA97)</f>
        <v>202.7137556537524</v>
      </c>
      <c r="AC97" s="48">
        <f>AC98*AC92</f>
        <v>50.557719616620041</v>
      </c>
      <c r="AD97" s="48">
        <f>AD98*AD92</f>
        <v>50.725615908343826</v>
      </c>
      <c r="AE97" s="48">
        <f t="shared" ref="AE97:AF97" si="385">AE98*AE92</f>
        <v>69.073660847666503</v>
      </c>
      <c r="AF97" s="48">
        <f t="shared" si="385"/>
        <v>59.45873613840817</v>
      </c>
      <c r="AG97" s="49">
        <f>SUM(AC97:AF97)</f>
        <v>229.81573251103853</v>
      </c>
      <c r="AH97" s="48">
        <f>AH98*AH92</f>
        <v>53.355591288825082</v>
      </c>
      <c r="AI97" s="48">
        <f>AI98*AI92</f>
        <v>53.95224031370978</v>
      </c>
      <c r="AJ97" s="48">
        <f t="shared" ref="AJ97:AK97" si="386">AJ98*AJ92</f>
        <v>63.011081757392688</v>
      </c>
      <c r="AK97" s="48">
        <f t="shared" si="386"/>
        <v>62.357616331254093</v>
      </c>
      <c r="AL97" s="49">
        <f>SUM(AH97:AK97)</f>
        <v>232.67652969118163</v>
      </c>
      <c r="AM97" s="48">
        <f>AM98*AM92</f>
        <v>61.334873951104008</v>
      </c>
      <c r="AN97" s="48">
        <f>AN98*AN92</f>
        <v>61.06824763605406</v>
      </c>
      <c r="AO97" s="48">
        <f t="shared" ref="AO97:AP97" si="387">AO98*AO92</f>
        <v>70.273836357957251</v>
      </c>
      <c r="AP97" s="48">
        <f t="shared" si="387"/>
        <v>68.639193857315334</v>
      </c>
      <c r="AQ97" s="49">
        <f>SUM(AM97:AP97)</f>
        <v>261.31615180243062</v>
      </c>
      <c r="AR97" s="48">
        <f>AR98*AR92</f>
        <v>65.752071190294259</v>
      </c>
      <c r="AS97" s="48">
        <f>AS98*AS92</f>
        <v>65.398581675674691</v>
      </c>
      <c r="AT97" s="48">
        <f t="shared" ref="AT97:AU97" si="388">AT98*AT92</f>
        <v>75.201937358323804</v>
      </c>
      <c r="AU97" s="48">
        <f t="shared" si="388"/>
        <v>73.493593443110939</v>
      </c>
      <c r="AV97" s="49">
        <f>SUM(AR97:AU97)</f>
        <v>279.84618366740369</v>
      </c>
    </row>
    <row r="98" spans="1:48" s="184" customFormat="1" outlineLevel="1" x14ac:dyDescent="0.3">
      <c r="B98" s="181" t="s">
        <v>152</v>
      </c>
      <c r="C98" s="190"/>
      <c r="D98" s="167">
        <f>D97/D92</f>
        <v>2.0811170212765958E-2</v>
      </c>
      <c r="E98" s="167">
        <f t="shared" ref="E98:U98" si="389">E97/E92</f>
        <v>1.7196286125277887E-2</v>
      </c>
      <c r="F98" s="167">
        <f t="shared" si="389"/>
        <v>1.6842238062196431E-2</v>
      </c>
      <c r="G98" s="167">
        <f t="shared" si="389"/>
        <v>2.0291330068061827E-2</v>
      </c>
      <c r="H98" s="186">
        <f t="shared" si="389"/>
        <v>1.8769787426503842E-2</v>
      </c>
      <c r="I98" s="167">
        <f t="shared" si="389"/>
        <v>2.2850232321303544E-2</v>
      </c>
      <c r="J98" s="167">
        <f t="shared" si="389"/>
        <v>2.8027498677948178E-2</v>
      </c>
      <c r="K98" s="167">
        <f t="shared" si="389"/>
        <v>3.9490311710193765E-2</v>
      </c>
      <c r="L98" s="167">
        <f t="shared" si="389"/>
        <v>2.6401111625752663E-2</v>
      </c>
      <c r="M98" s="186">
        <f t="shared" si="389"/>
        <v>2.8084233344946388E-2</v>
      </c>
      <c r="N98" s="167">
        <f t="shared" si="389"/>
        <v>2.0733845130871061E-2</v>
      </c>
      <c r="O98" s="167">
        <f t="shared" si="389"/>
        <v>1.8188590229064498E-2</v>
      </c>
      <c r="P98" s="167">
        <f t="shared" si="389"/>
        <v>2.3094548962855763E-2</v>
      </c>
      <c r="Q98" s="167">
        <f t="shared" si="389"/>
        <v>2.0787631881332914E-2</v>
      </c>
      <c r="R98" s="188">
        <f t="shared" ref="R98" si="390">R97/R92</f>
        <v>2.0721827381474659E-2</v>
      </c>
      <c r="S98" s="167">
        <f t="shared" si="389"/>
        <v>2.0896636281251667E-2</v>
      </c>
      <c r="T98" s="167">
        <f t="shared" si="389"/>
        <v>2.3202537593984961E-2</v>
      </c>
      <c r="U98" s="167">
        <f t="shared" si="389"/>
        <v>3.7988262762668014E-2</v>
      </c>
      <c r="V98" s="189">
        <f>Q98</f>
        <v>2.0787631881332914E-2</v>
      </c>
      <c r="W98" s="188">
        <f t="shared" ref="W98" si="391">W97/W92</f>
        <v>2.5306792064111489E-2</v>
      </c>
      <c r="X98" s="189">
        <f>S98</f>
        <v>2.0896636281251667E-2</v>
      </c>
      <c r="Y98" s="189">
        <f t="shared" ref="Y98" si="392">T98</f>
        <v>2.3202537593984961E-2</v>
      </c>
      <c r="Z98" s="189">
        <f>U98-0.5%</f>
        <v>3.2988262762668016E-2</v>
      </c>
      <c r="AA98" s="189">
        <f t="shared" ref="AA98" si="393">V98</f>
        <v>2.0787631881332914E-2</v>
      </c>
      <c r="AB98" s="188">
        <f t="shared" ref="AB98" si="394">AB97/AB92</f>
        <v>2.4465029783031982E-2</v>
      </c>
      <c r="AC98" s="189">
        <f>X98</f>
        <v>2.0896636281251667E-2</v>
      </c>
      <c r="AD98" s="189">
        <f t="shared" ref="AD98" si="395">Y98</f>
        <v>2.3202537593984961E-2</v>
      </c>
      <c r="AE98" s="189">
        <f>Z98-0.5%</f>
        <v>2.7988262762668015E-2</v>
      </c>
      <c r="AF98" s="189">
        <f t="shared" ref="AF98" si="396">AA98</f>
        <v>2.0787631881332914E-2</v>
      </c>
      <c r="AG98" s="188">
        <f t="shared" ref="AG98" si="397">AG97/AG92</f>
        <v>2.3134553402672536E-2</v>
      </c>
      <c r="AH98" s="189">
        <f>AC98-0.2%</f>
        <v>1.8896636281251669E-2</v>
      </c>
      <c r="AI98" s="189">
        <f>AD98-0.2%</f>
        <v>2.1202537593984959E-2</v>
      </c>
      <c r="AJ98" s="189">
        <f>AE98-0.6%</f>
        <v>2.1988262762668014E-2</v>
      </c>
      <c r="AK98" s="189">
        <f>AF98-0.2%</f>
        <v>1.8787631881332915E-2</v>
      </c>
      <c r="AL98" s="188">
        <f t="shared" ref="AL98" si="398">AL97/AL92</f>
        <v>2.0140081451625297E-2</v>
      </c>
      <c r="AM98" s="189">
        <f>AH98</f>
        <v>1.8896636281251669E-2</v>
      </c>
      <c r="AN98" s="189">
        <f t="shared" ref="AN98" si="399">AI98</f>
        <v>2.1202537593984959E-2</v>
      </c>
      <c r="AO98" s="189">
        <f t="shared" ref="AO98" si="400">AJ98</f>
        <v>2.1988262762668014E-2</v>
      </c>
      <c r="AP98" s="189">
        <f t="shared" ref="AP98" si="401">AK98</f>
        <v>1.8787631881332915E-2</v>
      </c>
      <c r="AQ98" s="188">
        <f t="shared" ref="AQ98" si="402">AQ97/AQ92</f>
        <v>2.0139295037204911E-2</v>
      </c>
      <c r="AR98" s="189">
        <f>AM98</f>
        <v>1.8896636281251669E-2</v>
      </c>
      <c r="AS98" s="189">
        <f t="shared" ref="AS98" si="403">AN98</f>
        <v>2.1202537593984959E-2</v>
      </c>
      <c r="AT98" s="189">
        <f t="shared" ref="AT98" si="404">AO98</f>
        <v>2.1988262762668014E-2</v>
      </c>
      <c r="AU98" s="189">
        <f t="shared" ref="AU98" si="405">AP98</f>
        <v>1.8787631881332915E-2</v>
      </c>
      <c r="AV98" s="188">
        <f t="shared" ref="AV98" si="406">AV97/AV92</f>
        <v>2.013870683273819E-2</v>
      </c>
    </row>
    <row r="99" spans="1:48" outlineLevel="1" x14ac:dyDescent="0.3">
      <c r="B99" s="180" t="s">
        <v>34</v>
      </c>
      <c r="C99" s="18"/>
      <c r="D99" s="358">
        <v>127</v>
      </c>
      <c r="E99" s="358">
        <v>130.4</v>
      </c>
      <c r="F99" s="358">
        <v>127.7</v>
      </c>
      <c r="G99" s="358">
        <v>126.5</v>
      </c>
      <c r="H99" s="126">
        <f>SUM(D99:G99)</f>
        <v>511.59999999999997</v>
      </c>
      <c r="I99" s="358">
        <v>126.6</v>
      </c>
      <c r="J99" s="358">
        <v>130</v>
      </c>
      <c r="K99" s="358">
        <v>128.5</v>
      </c>
      <c r="L99" s="358">
        <v>133.1</v>
      </c>
      <c r="M99" s="126">
        <f>SUM(I99:L99)</f>
        <v>518.20000000000005</v>
      </c>
      <c r="N99" s="358">
        <v>140</v>
      </c>
      <c r="O99" s="358">
        <v>143.4</v>
      </c>
      <c r="P99" s="358">
        <v>129.69999999999999</v>
      </c>
      <c r="Q99" s="358">
        <v>131.6</v>
      </c>
      <c r="R99" s="126">
        <f>SUM(N99:Q99)</f>
        <v>544.69999999999993</v>
      </c>
      <c r="S99" s="358">
        <v>133.1</v>
      </c>
      <c r="T99" s="358">
        <v>133.4</v>
      </c>
      <c r="U99" s="358">
        <v>125</v>
      </c>
      <c r="V99" s="358">
        <f>(U99/(U66+U99+U114+U127))*'Cash Flow Statement'!V7*0.95</f>
        <v>129.33440412063263</v>
      </c>
      <c r="W99" s="126">
        <f>SUM(S99:V99)</f>
        <v>520.8344041206326</v>
      </c>
      <c r="X99" s="358">
        <f>(V99/(V66+V99+V114+V127))*'Cash Flow Statement'!X7*0.95</f>
        <v>131.48195836795102</v>
      </c>
      <c r="Y99" s="358">
        <f>(X99/(X66+X99+X114+X127))*'Cash Flow Statement'!Y7*0.95</f>
        <v>137.11284554911151</v>
      </c>
      <c r="Z99" s="358">
        <f>(Y99/(Y66+Y99+Y114+Y127))*'Cash Flow Statement'!Z7*0.95</f>
        <v>141.81247257079306</v>
      </c>
      <c r="AA99" s="358">
        <f>(Z99/(Z66+Z99+Z114+Z127))*'Cash Flow Statement'!AA7*0.95</f>
        <v>147.47952059376973</v>
      </c>
      <c r="AB99" s="126">
        <f>SUM(X99:AA99)</f>
        <v>557.88679708162533</v>
      </c>
      <c r="AC99" s="358">
        <f>(AA99/(AA66+AA99+AA114+AA127))*'Cash Flow Statement'!AC7*0.95</f>
        <v>153.21835092495499</v>
      </c>
      <c r="AD99" s="358">
        <f>(AC99/(AC66+AC99+AC114+AC127))*'Cash Flow Statement'!AD7*0.95</f>
        <v>157.66606310175129</v>
      </c>
      <c r="AE99" s="358">
        <f>(AD99/(AD66+AD99+AD114+AD127))*'Cash Flow Statement'!AE7*0.95</f>
        <v>161.06706535455726</v>
      </c>
      <c r="AF99" s="358">
        <f>(AE99/(AE66+AE99+AE114+AE127))*'Cash Flow Statement'!AF7*0.95</f>
        <v>165.52142473907296</v>
      </c>
      <c r="AG99" s="126">
        <f>SUM(AC99:AF99)</f>
        <v>637.47290412033647</v>
      </c>
      <c r="AH99" s="358">
        <f>(AF99/(AF66+AF99+AF114+AF127))*'Cash Flow Statement'!AH7*0.95</f>
        <v>170.08552096742056</v>
      </c>
      <c r="AI99" s="358">
        <f>(AH99/(AH66+AH99+AH114+AH127))*'Cash Flow Statement'!AI7*0.95</f>
        <v>173.49384498684756</v>
      </c>
      <c r="AJ99" s="358">
        <f>(AI99/(AI66+AI99+AI114+AI127))*'Cash Flow Statement'!AJ7*0.95</f>
        <v>175.93303513781927</v>
      </c>
      <c r="AK99" s="358">
        <f>(AJ99/(AJ66+AJ99+AJ114+AJ127))*'Cash Flow Statement'!AK7*0.95</f>
        <v>179.48285467565046</v>
      </c>
      <c r="AL99" s="126">
        <f>SUM(AH99:AK99)</f>
        <v>698.99525576773794</v>
      </c>
      <c r="AM99" s="358">
        <f>(AK99/(AK66+AK99+AK114+AK127))*'Cash Flow Statement'!AM7*0.95</f>
        <v>183.21610562005392</v>
      </c>
      <c r="AN99" s="358">
        <f>(AM99/(AM66+AM99+AM114+AM127))*'Cash Flow Statement'!AN7*0.95</f>
        <v>187.20214041931018</v>
      </c>
      <c r="AO99" s="358">
        <f>(AN99/(AN66+AN99+AN114+AN127))*'Cash Flow Statement'!AO7*0.95</f>
        <v>190.03862637595518</v>
      </c>
      <c r="AP99" s="358">
        <f>(AO99/(AO66+AO99+AO114+AO127))*'Cash Flow Statement'!AP7*0.95</f>
        <v>194.02042430183801</v>
      </c>
      <c r="AQ99" s="126">
        <f>SUM(AM99:AP99)</f>
        <v>754.4772967171574</v>
      </c>
      <c r="AR99" s="358">
        <f>(AP99/(AP66+AP99+AP114+AP127))*'Cash Flow Statement'!AR7*0.95</f>
        <v>198.14635433644253</v>
      </c>
      <c r="AS99" s="358">
        <f>(AR99/(AR66+AR99+AR114+AR127))*'Cash Flow Statement'!AS7*0.95</f>
        <v>202.20902878533059</v>
      </c>
      <c r="AT99" s="358">
        <f>(AS99/(AS66+AS99+AS114+AS127))*'Cash Flow Statement'!AT7*0.95</f>
        <v>205.04768632794284</v>
      </c>
      <c r="AU99" s="358">
        <f>(AT99/(AT66+AT99+AT114+AT127))*'Cash Flow Statement'!AU7*0.95</f>
        <v>209.11206844759425</v>
      </c>
      <c r="AV99" s="126">
        <f>SUM(AR99:AU99)</f>
        <v>814.5151378973103</v>
      </c>
    </row>
    <row r="100" spans="1:48" outlineLevel="1" x14ac:dyDescent="0.3">
      <c r="B100" s="180" t="s">
        <v>35</v>
      </c>
      <c r="C100" s="18"/>
      <c r="D100" s="105">
        <v>69.3</v>
      </c>
      <c r="E100" s="105">
        <v>80.2</v>
      </c>
      <c r="F100" s="105">
        <v>86</v>
      </c>
      <c r="G100" s="105">
        <v>82.4</v>
      </c>
      <c r="H100" s="170">
        <f>SUM(D100:G100)</f>
        <v>317.89999999999998</v>
      </c>
      <c r="I100" s="105">
        <v>67.2</v>
      </c>
      <c r="J100" s="105">
        <v>63.7</v>
      </c>
      <c r="K100" s="105">
        <v>66.099999999999994</v>
      </c>
      <c r="L100" s="105">
        <v>84.5</v>
      </c>
      <c r="M100" s="170">
        <f>SUM(I100:L100)</f>
        <v>281.5</v>
      </c>
      <c r="N100" s="105">
        <v>82.6</v>
      </c>
      <c r="O100" s="105">
        <v>79.8</v>
      </c>
      <c r="P100" s="105">
        <v>92.3</v>
      </c>
      <c r="Q100" s="105">
        <v>98.4</v>
      </c>
      <c r="R100" s="49">
        <f>SUM(N100:Q100)</f>
        <v>353.1</v>
      </c>
      <c r="S100" s="48">
        <v>91.3</v>
      </c>
      <c r="T100" s="48">
        <v>79.599999999999994</v>
      </c>
      <c r="U100" s="48">
        <v>81.8</v>
      </c>
      <c r="V100" s="48">
        <f t="shared" ref="V100" si="407">V101*V92</f>
        <v>93.721868692750746</v>
      </c>
      <c r="W100" s="49">
        <f>SUM(S100:V100)</f>
        <v>346.42186869275076</v>
      </c>
      <c r="X100" s="48">
        <f>X101*X92</f>
        <v>90.496851975741492</v>
      </c>
      <c r="Y100" s="48">
        <f>Y101*Y92</f>
        <v>87.259238485240132</v>
      </c>
      <c r="Z100" s="48">
        <f t="shared" ref="Z100:AA100" si="408">Z101*Z92</f>
        <v>98.432755978184503</v>
      </c>
      <c r="AA100" s="48">
        <f t="shared" si="408"/>
        <v>113.61115242876841</v>
      </c>
      <c r="AB100" s="49">
        <f>SUM(X100:AA100)</f>
        <v>389.79999886793451</v>
      </c>
      <c r="AC100" s="48">
        <f>AC101*AC92</f>
        <v>110.4947990385448</v>
      </c>
      <c r="AD100" s="48">
        <f>AD101*AD92</f>
        <v>102.22174750137135</v>
      </c>
      <c r="AE100" s="48">
        <f t="shared" ref="AE100:AF100" si="409">AE101*AE92</f>
        <v>115.05242724534155</v>
      </c>
      <c r="AF100" s="48">
        <f t="shared" si="409"/>
        <v>132.70203906950712</v>
      </c>
      <c r="AG100" s="49">
        <f>SUM(AC100:AF100)</f>
        <v>460.47101285476481</v>
      </c>
      <c r="AH100" s="48">
        <f>AH101*AH92</f>
        <v>123.30433466794348</v>
      </c>
      <c r="AI100" s="48">
        <f>AI101*AI92</f>
        <v>113.89053783193276</v>
      </c>
      <c r="AJ100" s="48">
        <f t="shared" ref="AJ100:AK100" si="410">AJ101*AJ92</f>
        <v>127.86214467949708</v>
      </c>
      <c r="AK100" s="48">
        <f t="shared" si="410"/>
        <v>147.34896642278375</v>
      </c>
      <c r="AL100" s="49">
        <f>SUM(AH100:AK100)</f>
        <v>512.40598360215699</v>
      </c>
      <c r="AM100" s="48">
        <f>AM101*AM92</f>
        <v>141.74439157732732</v>
      </c>
      <c r="AN100" s="48">
        <f>AN101*AN92</f>
        <v>128.91208089382152</v>
      </c>
      <c r="AO100" s="48">
        <f t="shared" ref="AO100:AP100" si="411">AO101*AO92</f>
        <v>142.59973295142225</v>
      </c>
      <c r="AP100" s="48">
        <f t="shared" si="411"/>
        <v>162.19212449112385</v>
      </c>
      <c r="AQ100" s="49">
        <f>SUM(AM100:AP100)</f>
        <v>575.44832991369492</v>
      </c>
      <c r="AR100" s="48">
        <f>AR101*AR92</f>
        <v>151.95249823529826</v>
      </c>
      <c r="AS100" s="48">
        <f>AS101*AS92</f>
        <v>138.05320404082451</v>
      </c>
      <c r="AT100" s="48">
        <f t="shared" ref="AT100:AU100" si="412">AT101*AT92</f>
        <v>152.59984000449813</v>
      </c>
      <c r="AU100" s="48">
        <f t="shared" si="412"/>
        <v>173.66290871370268</v>
      </c>
      <c r="AV100" s="49">
        <f>SUM(AR100:AU100)</f>
        <v>616.26845099432353</v>
      </c>
    </row>
    <row r="101" spans="1:48" s="184" customFormat="1" outlineLevel="1" x14ac:dyDescent="0.3">
      <c r="B101" s="181" t="s">
        <v>153</v>
      </c>
      <c r="C101" s="190"/>
      <c r="D101" s="167">
        <f>D100/D92</f>
        <v>4.6077127659574467E-2</v>
      </c>
      <c r="E101" s="167">
        <f t="shared" ref="E101:Q101" si="413">E100/E92</f>
        <v>5.2438864914345497E-2</v>
      </c>
      <c r="F101" s="167">
        <f t="shared" si="413"/>
        <v>5.4248407241531571E-2</v>
      </c>
      <c r="G101" s="167">
        <f t="shared" si="413"/>
        <v>5.2413968577062528E-2</v>
      </c>
      <c r="H101" s="186">
        <f t="shared" si="413"/>
        <v>5.1350390902629703E-2</v>
      </c>
      <c r="I101" s="167">
        <f t="shared" si="413"/>
        <v>4.277257972121444E-2</v>
      </c>
      <c r="J101" s="167">
        <f t="shared" si="413"/>
        <v>5.6143134144191795E-2</v>
      </c>
      <c r="K101" s="167">
        <f t="shared" si="413"/>
        <v>6.9608256107834873E-2</v>
      </c>
      <c r="L101" s="167">
        <f t="shared" si="413"/>
        <v>5.5912128630979954E-2</v>
      </c>
      <c r="M101" s="186">
        <f t="shared" si="413"/>
        <v>5.4484573994503162E-2</v>
      </c>
      <c r="N101" s="167">
        <f t="shared" si="413"/>
        <v>4.9930484192709908E-2</v>
      </c>
      <c r="O101" s="167">
        <f t="shared" si="413"/>
        <v>4.9537525606803648E-2</v>
      </c>
      <c r="P101" s="167">
        <f t="shared" si="413"/>
        <v>5.5656054027978775E-2</v>
      </c>
      <c r="Q101" s="167">
        <f t="shared" si="413"/>
        <v>5.139454716389847E-2</v>
      </c>
      <c r="R101" s="188">
        <f t="shared" ref="R101:U101" si="414">R100/R92</f>
        <v>5.1636395542686682E-2</v>
      </c>
      <c r="S101" s="167">
        <f t="shared" si="414"/>
        <v>4.8669971746894823E-2</v>
      </c>
      <c r="T101" s="167">
        <f t="shared" si="414"/>
        <v>4.6757518796992477E-2</v>
      </c>
      <c r="U101" s="167">
        <f t="shared" si="414"/>
        <v>5.1618602890136929E-2</v>
      </c>
      <c r="V101" s="189">
        <f>Q101</f>
        <v>5.139454716389847E-2</v>
      </c>
      <c r="W101" s="188">
        <f t="shared" ref="W101" si="415">W100/W92</f>
        <v>4.9583925366117061E-2</v>
      </c>
      <c r="X101" s="189">
        <f>S101</f>
        <v>4.8669971746894823E-2</v>
      </c>
      <c r="Y101" s="189">
        <f t="shared" ref="Y101" si="416">T101</f>
        <v>4.6757518796992477E-2</v>
      </c>
      <c r="Z101" s="189">
        <f>U101-0.5%</f>
        <v>4.6618602890136931E-2</v>
      </c>
      <c r="AA101" s="189">
        <f>V101-0.5%</f>
        <v>4.6394547163898472E-2</v>
      </c>
      <c r="AB101" s="188">
        <f t="shared" ref="AB101" si="417">AB100/AB92</f>
        <v>4.7044013125674251E-2</v>
      </c>
      <c r="AC101" s="189">
        <f>X101-0.3%</f>
        <v>4.566997174689482E-2</v>
      </c>
      <c r="AD101" s="189">
        <f t="shared" ref="AD101" si="418">Y101</f>
        <v>4.6757518796992477E-2</v>
      </c>
      <c r="AE101" s="189">
        <f t="shared" ref="AE101" si="419">Z101</f>
        <v>4.6618602890136931E-2</v>
      </c>
      <c r="AF101" s="189">
        <f t="shared" ref="AF101" si="420">AA101</f>
        <v>4.6394547163898472E-2</v>
      </c>
      <c r="AG101" s="188">
        <f t="shared" ref="AG101" si="421">AG100/AG92</f>
        <v>4.6353620445717711E-2</v>
      </c>
      <c r="AH101" s="189">
        <f>AC101-0.2%</f>
        <v>4.3669971746894819E-2</v>
      </c>
      <c r="AI101" s="189">
        <f>AD101-0.2%</f>
        <v>4.4757518796992475E-2</v>
      </c>
      <c r="AJ101" s="189">
        <f>AE101-0.2%</f>
        <v>4.461860289013693E-2</v>
      </c>
      <c r="AK101" s="189">
        <f>AF101-0.2%</f>
        <v>4.4394547163898471E-2</v>
      </c>
      <c r="AL101" s="188">
        <f t="shared" ref="AL101" si="422">AL100/AL92</f>
        <v>4.4352983344493897E-2</v>
      </c>
      <c r="AM101" s="189">
        <f>AH101</f>
        <v>4.3669971746894819E-2</v>
      </c>
      <c r="AN101" s="189">
        <f t="shared" ref="AN101" si="423">AI101</f>
        <v>4.4757518796992475E-2</v>
      </c>
      <c r="AO101" s="189">
        <f t="shared" ref="AO101" si="424">AJ101</f>
        <v>4.461860289013693E-2</v>
      </c>
      <c r="AP101" s="189">
        <f t="shared" ref="AP101" si="425">AK101</f>
        <v>4.4394547163898471E-2</v>
      </c>
      <c r="AQ101" s="188">
        <f t="shared" ref="AQ101" si="426">AQ100/AQ92</f>
        <v>4.4349052344689145E-2</v>
      </c>
      <c r="AR101" s="189">
        <f>AM101</f>
        <v>4.3669971746894819E-2</v>
      </c>
      <c r="AS101" s="189">
        <f t="shared" ref="AS101" si="427">AN101</f>
        <v>4.4757518796992475E-2</v>
      </c>
      <c r="AT101" s="189">
        <f t="shared" ref="AT101" si="428">AO101</f>
        <v>4.461860289013693E-2</v>
      </c>
      <c r="AU101" s="189">
        <f t="shared" ref="AU101" si="429">AP101</f>
        <v>4.4394547163898471E-2</v>
      </c>
      <c r="AV101" s="188">
        <f t="shared" ref="AV101" si="430">AV100/AV92</f>
        <v>4.4348825852099587E-2</v>
      </c>
    </row>
    <row r="102" spans="1:48" ht="16.2" outlineLevel="1" x14ac:dyDescent="0.45">
      <c r="B102" s="180" t="s">
        <v>42</v>
      </c>
      <c r="C102" s="18"/>
      <c r="D102" s="119">
        <v>6.4</v>
      </c>
      <c r="E102" s="119">
        <v>24.2</v>
      </c>
      <c r="F102" s="119">
        <v>16.600000000000001</v>
      </c>
      <c r="G102" s="119">
        <v>12</v>
      </c>
      <c r="H102" s="131">
        <f>SUM(D102:G102)</f>
        <v>59.2</v>
      </c>
      <c r="I102" s="119">
        <v>0.8</v>
      </c>
      <c r="J102" s="119">
        <v>-1.2</v>
      </c>
      <c r="K102" s="119">
        <v>-0.2</v>
      </c>
      <c r="L102" s="119">
        <v>-0.6</v>
      </c>
      <c r="M102" s="131">
        <f>SUM(I102:L102)</f>
        <v>-1.1999999999999997</v>
      </c>
      <c r="N102" s="119">
        <v>0</v>
      </c>
      <c r="O102" s="119">
        <v>0</v>
      </c>
      <c r="P102" s="119">
        <v>0</v>
      </c>
      <c r="Q102" s="119">
        <v>0</v>
      </c>
      <c r="R102" s="131">
        <f>SUM(N102:Q102)</f>
        <v>0</v>
      </c>
      <c r="S102" s="119">
        <v>0</v>
      </c>
      <c r="T102" s="119">
        <v>0</v>
      </c>
      <c r="U102" s="119">
        <v>0</v>
      </c>
      <c r="V102" s="119">
        <f>IFERROR((V163*(U102/U163)),0)</f>
        <v>0</v>
      </c>
      <c r="W102" s="131">
        <f>SUM(S102:V102)</f>
        <v>0</v>
      </c>
      <c r="X102" s="119">
        <f>IFERROR((X163*(V102/V163)),0)</f>
        <v>0</v>
      </c>
      <c r="Y102" s="119">
        <f t="shared" ref="Y102:AA102" si="431">IFERROR((Y163*(X102/X163)),0)</f>
        <v>0</v>
      </c>
      <c r="Z102" s="119">
        <f t="shared" si="431"/>
        <v>0</v>
      </c>
      <c r="AA102" s="119">
        <f t="shared" si="431"/>
        <v>0</v>
      </c>
      <c r="AB102" s="131">
        <f>SUM(X102:AA102)</f>
        <v>0</v>
      </c>
      <c r="AC102" s="119">
        <f>IFERROR((AC163*(AA102/AA163)),0)</f>
        <v>0</v>
      </c>
      <c r="AD102" s="119">
        <f t="shared" ref="AD102:AF102" si="432">IFERROR((AD163*(AC102/AC163)),0)</f>
        <v>0</v>
      </c>
      <c r="AE102" s="119">
        <f t="shared" si="432"/>
        <v>0</v>
      </c>
      <c r="AF102" s="119">
        <f t="shared" si="432"/>
        <v>0</v>
      </c>
      <c r="AG102" s="131">
        <f>SUM(AC102:AF102)</f>
        <v>0</v>
      </c>
      <c r="AH102" s="119">
        <f>IFERROR((AH163*(AF102/AF163)),0)</f>
        <v>0</v>
      </c>
      <c r="AI102" s="119">
        <f t="shared" ref="AI102:AK102" si="433">IFERROR((AI163*(AH102/AH163)),0)</f>
        <v>0</v>
      </c>
      <c r="AJ102" s="119">
        <f t="shared" si="433"/>
        <v>0</v>
      </c>
      <c r="AK102" s="119">
        <f t="shared" si="433"/>
        <v>0</v>
      </c>
      <c r="AL102" s="131">
        <f>SUM(AH102:AK102)</f>
        <v>0</v>
      </c>
      <c r="AM102" s="119">
        <f>IFERROR((AM163*(AK102/AK163)),0)</f>
        <v>0</v>
      </c>
      <c r="AN102" s="119">
        <f t="shared" ref="AN102:AP102" si="434">IFERROR((AN163*(AM102/AM163)),0)</f>
        <v>0</v>
      </c>
      <c r="AO102" s="119">
        <f t="shared" si="434"/>
        <v>0</v>
      </c>
      <c r="AP102" s="119">
        <f t="shared" si="434"/>
        <v>0</v>
      </c>
      <c r="AQ102" s="131">
        <f>SUM(AM102:AP102)</f>
        <v>0</v>
      </c>
      <c r="AR102" s="119">
        <f>IFERROR((AR163*(AP102/AP163)),0)</f>
        <v>0</v>
      </c>
      <c r="AS102" s="119">
        <f t="shared" ref="AS102:AU102" si="435">IFERROR((AS163*(AR102/AR163)),0)</f>
        <v>0</v>
      </c>
      <c r="AT102" s="119">
        <f t="shared" si="435"/>
        <v>0</v>
      </c>
      <c r="AU102" s="119">
        <f t="shared" si="435"/>
        <v>0</v>
      </c>
      <c r="AV102" s="131">
        <f>SUM(AR102:AU102)</f>
        <v>0</v>
      </c>
    </row>
    <row r="103" spans="1:48" outlineLevel="1" x14ac:dyDescent="0.3">
      <c r="B103" s="46" t="s">
        <v>123</v>
      </c>
      <c r="C103" s="19"/>
      <c r="D103" s="103">
        <f>D93+D95+D97+D99+D100+D102</f>
        <v>1300.4000000000001</v>
      </c>
      <c r="E103" s="103">
        <f t="shared" ref="E103:G103" si="436">E93+E95+E97+E99+E100+E102</f>
        <v>1349.7</v>
      </c>
      <c r="F103" s="103">
        <f t="shared" si="436"/>
        <v>1342.3000000000002</v>
      </c>
      <c r="G103" s="103">
        <f t="shared" si="436"/>
        <v>1336.2000000000003</v>
      </c>
      <c r="H103" s="171">
        <f>H93+H95+H97+H99+H100+H102</f>
        <v>5328.5999999999995</v>
      </c>
      <c r="I103" s="103">
        <f>I93+I95+I97+I99+I100+I102</f>
        <v>1326.1</v>
      </c>
      <c r="J103" s="103">
        <f t="shared" ref="J103:L103" si="437">J93+J95+J97+J99+J100+J102</f>
        <v>1174.8</v>
      </c>
      <c r="K103" s="103">
        <f t="shared" si="437"/>
        <v>1052.9999999999998</v>
      </c>
      <c r="L103" s="103">
        <f t="shared" si="437"/>
        <v>1358.8000000000002</v>
      </c>
      <c r="M103" s="171">
        <f>M93+M95+M97+M99+M100+M102</f>
        <v>4912.7000000000007</v>
      </c>
      <c r="N103" s="103">
        <f>N93+N95+N97+N99+N100+N102</f>
        <v>1405.8</v>
      </c>
      <c r="O103" s="103">
        <f t="shared" ref="O103:P103" si="438">O93+O95+O97+O99+O100+O102</f>
        <v>1386.2</v>
      </c>
      <c r="P103" s="103">
        <f t="shared" si="438"/>
        <v>1382.1</v>
      </c>
      <c r="Q103" s="103">
        <f>Q93+Q95+Q97+Q99+Q100+Q102</f>
        <v>1577.5</v>
      </c>
      <c r="R103" s="171">
        <f>R93+R95+R97+R99+R100+R102</f>
        <v>5751.6</v>
      </c>
      <c r="S103" s="103">
        <f>S93+S95+S97+S99+S100+S102</f>
        <v>1577</v>
      </c>
      <c r="T103" s="103">
        <f t="shared" ref="T103:V103" si="439">T93+T95+T97+T99+T100+T102</f>
        <v>1522.3</v>
      </c>
      <c r="U103" s="103">
        <f t="shared" si="439"/>
        <v>1449.8</v>
      </c>
      <c r="V103" s="103">
        <f t="shared" si="439"/>
        <v>1579.8379843847188</v>
      </c>
      <c r="W103" s="171">
        <f>W93+W95+W97+W99+W100+W102</f>
        <v>6128.9379843847191</v>
      </c>
      <c r="X103" s="103">
        <f>X93+X95+X97+X99+X100+X102</f>
        <v>1587.0342091461987</v>
      </c>
      <c r="Y103" s="103">
        <f t="shared" ref="Y103:AA103" si="440">Y93+Y95+Y97+Y99+Y100+Y102</f>
        <v>1596.782463139049</v>
      </c>
      <c r="Z103" s="103">
        <f t="shared" si="440"/>
        <v>1878.1948918136563</v>
      </c>
      <c r="AA103" s="103">
        <f t="shared" si="440"/>
        <v>2070.1635515277358</v>
      </c>
      <c r="AB103" s="171">
        <f>AB93+AB95+AB97+AB99+AB100+AB102</f>
        <v>7132.1751156266409</v>
      </c>
      <c r="AC103" s="103">
        <f>AC93+AC95+AC97+AC99+AC100+AC102</f>
        <v>2026.1186361052557</v>
      </c>
      <c r="AD103" s="103">
        <f t="shared" ref="AD103:AF103" si="441">AD93+AD95+AD97+AD99+AD100+AD102</f>
        <v>1796.8255856620358</v>
      </c>
      <c r="AE103" s="103">
        <f t="shared" si="441"/>
        <v>2185.5720503702723</v>
      </c>
      <c r="AF103" s="103">
        <f t="shared" si="441"/>
        <v>2417.6793930851773</v>
      </c>
      <c r="AG103" s="171">
        <f>AG93+AG95+AG97+AG99+AG100+AG102</f>
        <v>8426.19566522274</v>
      </c>
      <c r="AH103" s="103">
        <f>AH93+AH95+AH97+AH99+AH100+AH102</f>
        <v>2339.5336485850967</v>
      </c>
      <c r="AI103" s="103">
        <f t="shared" ref="AI103:AK103" si="442">AI93+AI95+AI97+AI99+AI100+AI102</f>
        <v>2067.3158988910091</v>
      </c>
      <c r="AJ103" s="103">
        <f t="shared" si="442"/>
        <v>2438.8561947658118</v>
      </c>
      <c r="AK103" s="103">
        <f t="shared" si="442"/>
        <v>2773.6324308062772</v>
      </c>
      <c r="AL103" s="171">
        <f>AL93+AL95+AL97+AL99+AL100+AL102</f>
        <v>9619.3381730481942</v>
      </c>
      <c r="AM103" s="103">
        <f>AM93+AM95+AM97+AM99+AM100+AM102</f>
        <v>2683.7615996868772</v>
      </c>
      <c r="AN103" s="103">
        <f t="shared" ref="AN103:AP103" si="443">AN93+AN95+AN97+AN99+AN100+AN102</f>
        <v>2337.0513382828249</v>
      </c>
      <c r="AO103" s="103">
        <f t="shared" si="443"/>
        <v>2721.5503458509424</v>
      </c>
      <c r="AP103" s="103">
        <f t="shared" si="443"/>
        <v>3056.8235248877791</v>
      </c>
      <c r="AQ103" s="171">
        <f>AQ93+AQ95+AQ97+AQ99+AQ100+AQ102</f>
        <v>10799.186808708426</v>
      </c>
      <c r="AR103" s="103">
        <f>AR93+AR95+AR97+AR99+AR100+AR102</f>
        <v>2885.8996904838027</v>
      </c>
      <c r="AS103" s="103">
        <f t="shared" ref="AS103:AU103" si="444">AS93+AS95+AS97+AS99+AS100+AS102</f>
        <v>2511.2577821388231</v>
      </c>
      <c r="AT103" s="103">
        <f t="shared" si="444"/>
        <v>2922.3318914391298</v>
      </c>
      <c r="AU103" s="103">
        <f t="shared" si="444"/>
        <v>3281.9633891710091</v>
      </c>
      <c r="AV103" s="171">
        <f>AV93+AV95+AV97+AV99+AV100+AV102</f>
        <v>11601.452753232761</v>
      </c>
    </row>
    <row r="104" spans="1:48" ht="16.2" outlineLevel="1" x14ac:dyDescent="0.45">
      <c r="B104" s="180" t="s">
        <v>36</v>
      </c>
      <c r="C104" s="18"/>
      <c r="D104" s="119">
        <v>26.4</v>
      </c>
      <c r="E104" s="104">
        <v>22.1</v>
      </c>
      <c r="F104" s="104">
        <v>27.2</v>
      </c>
      <c r="G104" s="104">
        <v>26.8</v>
      </c>
      <c r="H104" s="214">
        <f>SUM(D104:G104)</f>
        <v>102.5</v>
      </c>
      <c r="I104" s="104">
        <v>30.9</v>
      </c>
      <c r="J104" s="104">
        <v>24.8</v>
      </c>
      <c r="K104" s="104">
        <v>17.399999999999999</v>
      </c>
      <c r="L104" s="104">
        <v>29.2</v>
      </c>
      <c r="M104" s="214">
        <f>SUM(I104:L104)</f>
        <v>102.3</v>
      </c>
      <c r="N104" s="104">
        <v>26.3</v>
      </c>
      <c r="O104" s="104">
        <v>26.8</v>
      </c>
      <c r="P104" s="104">
        <v>42</v>
      </c>
      <c r="Q104" s="104">
        <v>40.299999999999997</v>
      </c>
      <c r="R104" s="193">
        <f>SUM(N104:Q104)</f>
        <v>135.39999999999998</v>
      </c>
      <c r="S104" s="104">
        <v>0.7</v>
      </c>
      <c r="T104" s="104">
        <v>0.6</v>
      </c>
      <c r="U104" s="104">
        <v>0.4</v>
      </c>
      <c r="V104" s="56">
        <v>0.4</v>
      </c>
      <c r="W104" s="193">
        <f>SUM(S104:V104)</f>
        <v>2.0999999999999996</v>
      </c>
      <c r="X104" s="56">
        <v>0.4</v>
      </c>
      <c r="Y104" s="56">
        <v>0.5</v>
      </c>
      <c r="Z104" s="56">
        <v>0.6</v>
      </c>
      <c r="AA104" s="56">
        <v>0.7</v>
      </c>
      <c r="AB104" s="193">
        <f>SUM(X104:AA104)</f>
        <v>2.2000000000000002</v>
      </c>
      <c r="AC104" s="56">
        <v>1</v>
      </c>
      <c r="AD104" s="56">
        <v>1</v>
      </c>
      <c r="AE104" s="56">
        <v>1</v>
      </c>
      <c r="AF104" s="56">
        <v>1</v>
      </c>
      <c r="AG104" s="193">
        <f>SUM(AC104:AF104)</f>
        <v>4</v>
      </c>
      <c r="AH104" s="56">
        <v>1</v>
      </c>
      <c r="AI104" s="56">
        <v>1</v>
      </c>
      <c r="AJ104" s="56">
        <v>1</v>
      </c>
      <c r="AK104" s="56">
        <v>1</v>
      </c>
      <c r="AL104" s="193">
        <f>SUM(AH104:AK104)</f>
        <v>4</v>
      </c>
      <c r="AM104" s="56">
        <v>1</v>
      </c>
      <c r="AN104" s="56">
        <v>1</v>
      </c>
      <c r="AO104" s="56">
        <v>1</v>
      </c>
      <c r="AP104" s="56">
        <v>1</v>
      </c>
      <c r="AQ104" s="193">
        <f>SUM(AM104:AP104)</f>
        <v>4</v>
      </c>
      <c r="AR104" s="56">
        <v>1</v>
      </c>
      <c r="AS104" s="56">
        <v>1</v>
      </c>
      <c r="AT104" s="56">
        <v>1</v>
      </c>
      <c r="AU104" s="56">
        <v>1</v>
      </c>
      <c r="AV104" s="193">
        <f>SUM(AR104:AU104)</f>
        <v>4</v>
      </c>
    </row>
    <row r="105" spans="1:48" outlineLevel="1" x14ac:dyDescent="0.3">
      <c r="B105" s="46" t="s">
        <v>124</v>
      </c>
      <c r="C105" s="44"/>
      <c r="D105" s="156">
        <f>+D92-D103+D104</f>
        <v>229.99999999999991</v>
      </c>
      <c r="E105" s="156">
        <f t="shared" ref="E105:V105" si="445">+E92-E103+E104</f>
        <v>201.80000000000004</v>
      </c>
      <c r="F105" s="156">
        <f t="shared" si="445"/>
        <v>270.19999999999976</v>
      </c>
      <c r="G105" s="156">
        <f t="shared" si="445"/>
        <v>262.69999999999987</v>
      </c>
      <c r="H105" s="132">
        <f>SUM(D105:G105)</f>
        <v>964.69999999999959</v>
      </c>
      <c r="I105" s="156">
        <f t="shared" si="445"/>
        <v>275.89999999999998</v>
      </c>
      <c r="J105" s="156">
        <f t="shared" si="445"/>
        <v>-15.400000000000045</v>
      </c>
      <c r="K105" s="156">
        <f>+K92-K103+K104</f>
        <v>-85.999999999999744</v>
      </c>
      <c r="L105" s="156">
        <f t="shared" si="445"/>
        <v>181.69999999999976</v>
      </c>
      <c r="M105" s="132">
        <f>SUM(I105:L105)</f>
        <v>356.19999999999993</v>
      </c>
      <c r="N105" s="156">
        <f t="shared" si="445"/>
        <v>274.8</v>
      </c>
      <c r="O105" s="156">
        <f t="shared" si="445"/>
        <v>251.50000000000006</v>
      </c>
      <c r="P105" s="156">
        <f t="shared" si="445"/>
        <v>318.29999999999995</v>
      </c>
      <c r="Q105" s="156">
        <f t="shared" si="445"/>
        <v>377.39999999999992</v>
      </c>
      <c r="R105" s="97">
        <f>SUM(N105:Q105)</f>
        <v>1222</v>
      </c>
      <c r="S105" s="74">
        <f t="shared" si="445"/>
        <v>299.59999999999985</v>
      </c>
      <c r="T105" s="74">
        <f t="shared" si="445"/>
        <v>180.70000000000013</v>
      </c>
      <c r="U105" s="74">
        <f t="shared" si="445"/>
        <v>135.3000000000001</v>
      </c>
      <c r="V105" s="74">
        <f t="shared" si="445"/>
        <v>244.13813146020576</v>
      </c>
      <c r="W105" s="97">
        <f>SUM(S105:V105)</f>
        <v>859.73813146020575</v>
      </c>
      <c r="X105" s="74">
        <f t="shared" ref="X105:AA105" si="446">+X92-X103+X104</f>
        <v>272.76386994792472</v>
      </c>
      <c r="Y105" s="74">
        <f t="shared" si="446"/>
        <v>269.92516999251916</v>
      </c>
      <c r="Z105" s="74">
        <f t="shared" si="446"/>
        <v>233.85311125401731</v>
      </c>
      <c r="AA105" s="74">
        <f t="shared" si="446"/>
        <v>379.34044320494621</v>
      </c>
      <c r="AB105" s="97">
        <f>SUM(X105:AA105)</f>
        <v>1155.8825943994075</v>
      </c>
      <c r="AC105" s="74">
        <f t="shared" ref="AC105:AF105" si="447">+AC92-AC103+AC104</f>
        <v>394.30040034417084</v>
      </c>
      <c r="AD105" s="74">
        <f t="shared" si="447"/>
        <v>390.38425034719285</v>
      </c>
      <c r="AE105" s="74">
        <f t="shared" si="447"/>
        <v>283.37894156481889</v>
      </c>
      <c r="AF105" s="74">
        <f t="shared" si="447"/>
        <v>443.61448155292055</v>
      </c>
      <c r="AG105" s="97">
        <f>SUM(AC105:AF105)</f>
        <v>1511.6780738091031</v>
      </c>
      <c r="AH105" s="74">
        <f t="shared" ref="AH105:AK105" si="448">+AH92-AH103+AH104</f>
        <v>485.01602950030565</v>
      </c>
      <c r="AI105" s="74">
        <f t="shared" si="448"/>
        <v>478.29651245619334</v>
      </c>
      <c r="AJ105" s="74">
        <f t="shared" si="448"/>
        <v>427.81275041224035</v>
      </c>
      <c r="AK105" s="74">
        <f t="shared" si="448"/>
        <v>546.44560548480013</v>
      </c>
      <c r="AL105" s="97">
        <f>SUM(AH105:AK105)</f>
        <v>1937.5708978535395</v>
      </c>
      <c r="AM105" s="74">
        <f t="shared" ref="AM105:AP105" si="449">+AM92-AM103+AM104</f>
        <v>563.04749766858777</v>
      </c>
      <c r="AN105" s="74">
        <f t="shared" si="449"/>
        <v>544.1816227651384</v>
      </c>
      <c r="AO105" s="74">
        <f t="shared" si="449"/>
        <v>475.42002781901238</v>
      </c>
      <c r="AP105" s="74">
        <f t="shared" si="449"/>
        <v>597.60093493007116</v>
      </c>
      <c r="AQ105" s="97">
        <f>SUM(AM105:AP105)</f>
        <v>2180.2500831828097</v>
      </c>
      <c r="AR105" s="74">
        <f t="shared" ref="AR105:AU105" si="450">+AR92-AR103+AR104</f>
        <v>594.66514908133695</v>
      </c>
      <c r="AS105" s="74">
        <f t="shared" si="450"/>
        <v>574.21177183701366</v>
      </c>
      <c r="AT105" s="74">
        <f t="shared" si="450"/>
        <v>498.76264581566102</v>
      </c>
      <c r="AU105" s="74">
        <f t="shared" si="450"/>
        <v>630.84379905333435</v>
      </c>
      <c r="AV105" s="97">
        <f>SUM(AR105:AU105)</f>
        <v>2298.483365787346</v>
      </c>
    </row>
    <row r="106" spans="1:48" outlineLevel="1" x14ac:dyDescent="0.3">
      <c r="B106" s="46" t="s">
        <v>125</v>
      </c>
      <c r="C106" s="44"/>
      <c r="D106" s="157">
        <f t="shared" ref="D106:G106" si="451">+D105/D92</f>
        <v>0.15292553191489355</v>
      </c>
      <c r="E106" s="157">
        <f t="shared" si="451"/>
        <v>0.1319471688243756</v>
      </c>
      <c r="F106" s="157">
        <f t="shared" si="451"/>
        <v>0.17044092600769556</v>
      </c>
      <c r="G106" s="157">
        <f t="shared" si="451"/>
        <v>0.16710132943196987</v>
      </c>
      <c r="H106" s="133">
        <f>H105/H92</f>
        <v>0.15582800284292814</v>
      </c>
      <c r="I106" s="157">
        <f t="shared" ref="I106:L106" si="452">+I105/I92</f>
        <v>0.17560944561135511</v>
      </c>
      <c r="J106" s="157">
        <f t="shared" si="452"/>
        <v>-1.3573065397496956E-2</v>
      </c>
      <c r="K106" s="157">
        <f t="shared" si="452"/>
        <v>-9.0564448188710761E-2</v>
      </c>
      <c r="L106" s="157">
        <f t="shared" si="452"/>
        <v>0.12022761860649757</v>
      </c>
      <c r="M106" s="133">
        <f>M105/M92</f>
        <v>6.8942825068710564E-2</v>
      </c>
      <c r="N106" s="157">
        <f t="shared" ref="N106:Q106" si="453">+N105/N92</f>
        <v>0.16611255515928189</v>
      </c>
      <c r="O106" s="157">
        <f t="shared" si="453"/>
        <v>0.1561239058911168</v>
      </c>
      <c r="P106" s="157">
        <f t="shared" si="453"/>
        <v>0.19193198263386396</v>
      </c>
      <c r="Q106" s="157">
        <f t="shared" si="453"/>
        <v>0.19711689125665932</v>
      </c>
      <c r="R106" s="98">
        <f>R105/R92</f>
        <v>0.17870199760170807</v>
      </c>
      <c r="S106" s="75">
        <f t="shared" ref="S106:V106" si="454">+S105/S92</f>
        <v>0.15971000586385195</v>
      </c>
      <c r="T106" s="75">
        <f t="shared" si="454"/>
        <v>0.1061442669172933</v>
      </c>
      <c r="U106" s="75">
        <f t="shared" si="454"/>
        <v>8.5378936076228998E-2</v>
      </c>
      <c r="V106" s="75">
        <f t="shared" si="454"/>
        <v>0.13387877223160949</v>
      </c>
      <c r="W106" s="98">
        <f>W105/W92</f>
        <v>0.12305571673518267</v>
      </c>
      <c r="X106" s="75">
        <f t="shared" ref="X106:AA106" si="455">+X105/X92</f>
        <v>0.14669471428130765</v>
      </c>
      <c r="Y106" s="75">
        <f t="shared" si="455"/>
        <v>0.14463833777143775</v>
      </c>
      <c r="Z106" s="75">
        <f t="shared" si="455"/>
        <v>0.11075485207983221</v>
      </c>
      <c r="AA106" s="75">
        <f t="shared" si="455"/>
        <v>0.1549084549114173</v>
      </c>
      <c r="AB106" s="98">
        <f>AB105/AB92</f>
        <v>0.13950065700510009</v>
      </c>
      <c r="AC106" s="75">
        <f t="shared" ref="AC106:AF106" si="456">+AC105/AC92</f>
        <v>0.16297317430502617</v>
      </c>
      <c r="AD106" s="75">
        <f t="shared" si="456"/>
        <v>0.17856668830097833</v>
      </c>
      <c r="AE106" s="75">
        <f t="shared" si="456"/>
        <v>0.11482356922437296</v>
      </c>
      <c r="AF106" s="75">
        <f t="shared" si="456"/>
        <v>0.15509402215149987</v>
      </c>
      <c r="AG106" s="98">
        <f>AG105/AG92</f>
        <v>0.15217407765809102</v>
      </c>
      <c r="AH106" s="75">
        <f t="shared" ref="AH106:AK106" si="457">+AH105/AH92</f>
        <v>0.1717752775043031</v>
      </c>
      <c r="AI106" s="75">
        <f t="shared" si="457"/>
        <v>0.18796438715905156</v>
      </c>
      <c r="AJ106" s="75">
        <f t="shared" si="457"/>
        <v>0.149288964844353</v>
      </c>
      <c r="AK106" s="75">
        <f t="shared" si="457"/>
        <v>0.1646377697390414</v>
      </c>
      <c r="AL106" s="98">
        <f>AL105/AL92</f>
        <v>0.16771281466532892</v>
      </c>
      <c r="AM106" s="75">
        <f t="shared" ref="AM106:AP106" si="458">+AM105/AM92</f>
        <v>0.17346907374414991</v>
      </c>
      <c r="AN106" s="75">
        <f t="shared" si="458"/>
        <v>0.18893666940299847</v>
      </c>
      <c r="AO106" s="75">
        <f t="shared" si="458"/>
        <v>0.148756081012442</v>
      </c>
      <c r="AP106" s="75">
        <f t="shared" si="458"/>
        <v>0.16357281818818992</v>
      </c>
      <c r="AQ106" s="98">
        <f>AQ105/AQ92</f>
        <v>0.16802903064831043</v>
      </c>
      <c r="AR106" s="75">
        <f t="shared" ref="AR106:AU106" si="459">+AR105/AR92</f>
        <v>0.17090216061490479</v>
      </c>
      <c r="AS106" s="75">
        <f t="shared" si="459"/>
        <v>0.18616224339023316</v>
      </c>
      <c r="AT106" s="75">
        <f t="shared" si="459"/>
        <v>0.14583299975561584</v>
      </c>
      <c r="AU106" s="75">
        <f t="shared" si="459"/>
        <v>0.16126658822867199</v>
      </c>
      <c r="AV106" s="98">
        <f>AV105/AV92</f>
        <v>0.16540687479422772</v>
      </c>
    </row>
    <row r="107" spans="1:48" ht="17.399999999999999" x14ac:dyDescent="0.45">
      <c r="B107" s="432" t="s">
        <v>51</v>
      </c>
      <c r="C107" s="433"/>
      <c r="D107" s="14" t="s">
        <v>19</v>
      </c>
      <c r="E107" s="14" t="s">
        <v>81</v>
      </c>
      <c r="F107" s="14" t="s">
        <v>85</v>
      </c>
      <c r="G107" s="14" t="s">
        <v>95</v>
      </c>
      <c r="H107" s="40" t="s">
        <v>96</v>
      </c>
      <c r="I107" s="14" t="s">
        <v>97</v>
      </c>
      <c r="J107" s="14" t="s">
        <v>98</v>
      </c>
      <c r="K107" s="14" t="s">
        <v>99</v>
      </c>
      <c r="L107" s="14" t="s">
        <v>142</v>
      </c>
      <c r="M107" s="40" t="s">
        <v>143</v>
      </c>
      <c r="N107" s="14" t="s">
        <v>149</v>
      </c>
      <c r="O107" s="14" t="s">
        <v>157</v>
      </c>
      <c r="P107" s="14" t="s">
        <v>159</v>
      </c>
      <c r="Q107" s="14" t="s">
        <v>172</v>
      </c>
      <c r="R107" s="40" t="s">
        <v>173</v>
      </c>
      <c r="S107" s="14" t="s">
        <v>188</v>
      </c>
      <c r="T107" s="14" t="s">
        <v>189</v>
      </c>
      <c r="U107" s="14" t="s">
        <v>204</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164</v>
      </c>
      <c r="AN107" s="12" t="s">
        <v>165</v>
      </c>
      <c r="AO107" s="12" t="s">
        <v>166</v>
      </c>
      <c r="AP107" s="12" t="s">
        <v>167</v>
      </c>
      <c r="AQ107" s="42" t="s">
        <v>168</v>
      </c>
      <c r="AR107" s="12" t="s">
        <v>195</v>
      </c>
      <c r="AS107" s="12" t="s">
        <v>196</v>
      </c>
      <c r="AT107" s="12" t="s">
        <v>197</v>
      </c>
      <c r="AU107" s="12" t="s">
        <v>198</v>
      </c>
      <c r="AV107" s="42" t="s">
        <v>199</v>
      </c>
    </row>
    <row r="108" spans="1:48" s="8" customFormat="1" outlineLevel="1" x14ac:dyDescent="0.3">
      <c r="B108" s="438" t="s">
        <v>126</v>
      </c>
      <c r="C108" s="439"/>
      <c r="D108" s="50">
        <v>504.6</v>
      </c>
      <c r="E108" s="50">
        <v>446.6</v>
      </c>
      <c r="F108" s="103">
        <v>533.29999999999995</v>
      </c>
      <c r="G108" s="50">
        <v>508.1</v>
      </c>
      <c r="H108" s="31">
        <f>SUM(D108:G108)</f>
        <v>1992.6</v>
      </c>
      <c r="I108" s="50">
        <v>494.6</v>
      </c>
      <c r="J108" s="50">
        <v>519.1</v>
      </c>
      <c r="K108" s="50">
        <v>447.3</v>
      </c>
      <c r="L108" s="50">
        <v>464</v>
      </c>
      <c r="M108" s="31">
        <f>SUM(I108:L108)</f>
        <v>1925</v>
      </c>
      <c r="N108" s="50">
        <v>371.4</v>
      </c>
      <c r="O108" s="50">
        <v>369.9</v>
      </c>
      <c r="P108" s="50">
        <v>414</v>
      </c>
      <c r="Q108" s="103">
        <v>438.3</v>
      </c>
      <c r="R108" s="126">
        <f>SUM(N108:Q108)</f>
        <v>1593.6</v>
      </c>
      <c r="S108" s="50">
        <v>417.1</v>
      </c>
      <c r="T108" s="50">
        <v>463.1</v>
      </c>
      <c r="U108" s="50">
        <v>479.7</v>
      </c>
      <c r="V108" s="50">
        <f t="shared" ref="V108" si="460">+Q108*(1+V109)</f>
        <v>482.13000000000005</v>
      </c>
      <c r="W108" s="31">
        <f>SUM(S108:V108)</f>
        <v>1842.0300000000002</v>
      </c>
      <c r="X108" s="50">
        <f>+S108*(1+X109)</f>
        <v>458.81000000000006</v>
      </c>
      <c r="Y108" s="50">
        <f>+T108*(1+Y109)</f>
        <v>481.62400000000002</v>
      </c>
      <c r="Z108" s="50">
        <f>+U108*(1+Z109)</f>
        <v>498.88800000000003</v>
      </c>
      <c r="AA108" s="50">
        <f t="shared" ref="AA108" si="461">+V108*(1+AA109)</f>
        <v>501.41520000000008</v>
      </c>
      <c r="AB108" s="31">
        <f>SUM(X108:AA108)</f>
        <v>1940.7372000000003</v>
      </c>
      <c r="AC108" s="50">
        <f>+X108*(1+AC109)</f>
        <v>477.1624000000001</v>
      </c>
      <c r="AD108" s="50">
        <f>+Y108*(1+AD109)</f>
        <v>500.88896000000005</v>
      </c>
      <c r="AE108" s="50">
        <f>+Z108*(1+AE109)</f>
        <v>518.84352000000001</v>
      </c>
      <c r="AF108" s="50">
        <f t="shared" ref="AF108" si="462">+AA108*(1+AF109)</f>
        <v>521.47180800000012</v>
      </c>
      <c r="AG108" s="31">
        <f>SUM(AC108:AF108)</f>
        <v>2018.3666880000005</v>
      </c>
      <c r="AH108" s="50">
        <f>+AC108*(1+AH109)</f>
        <v>496.24889600000012</v>
      </c>
      <c r="AI108" s="50">
        <f>+AD108*(1+AI109)</f>
        <v>520.92451840000012</v>
      </c>
      <c r="AJ108" s="50">
        <f>+AE108*(1+AJ109)</f>
        <v>539.59726080000007</v>
      </c>
      <c r="AK108" s="50">
        <f t="shared" ref="AK108" si="463">+AF108*(1+AK109)</f>
        <v>542.33068032000017</v>
      </c>
      <c r="AL108" s="31">
        <f>SUM(AH108:AK108)</f>
        <v>2099.1013555200007</v>
      </c>
      <c r="AM108" s="50">
        <f>+AH108*(1+AM109)</f>
        <v>516.09885184000018</v>
      </c>
      <c r="AN108" s="50">
        <f>+AI108*(1+AN109)</f>
        <v>541.76149913600011</v>
      </c>
      <c r="AO108" s="50">
        <f>+AJ108*(1+AO109)</f>
        <v>561.18115123200005</v>
      </c>
      <c r="AP108" s="50">
        <f t="shared" ref="AP108" si="464">+AK108*(1+AP109)</f>
        <v>564.02390753280019</v>
      </c>
      <c r="AQ108" s="31">
        <f>SUM(AM108:AP108)</f>
        <v>2183.0654097408005</v>
      </c>
      <c r="AR108" s="50">
        <f>+AM108*(1+AR109)</f>
        <v>536.74280591360025</v>
      </c>
      <c r="AS108" s="50">
        <f>+AN108*(1+AS109)</f>
        <v>563.43195910144016</v>
      </c>
      <c r="AT108" s="50">
        <f>+AO108*(1+AT109)</f>
        <v>583.62839728128006</v>
      </c>
      <c r="AU108" s="50">
        <f t="shared" ref="AU108" si="465">+AP108*(1+AU109)</f>
        <v>586.58486383411218</v>
      </c>
      <c r="AV108" s="31">
        <f>SUM(AR108:AU108)</f>
        <v>2270.388026130433</v>
      </c>
    </row>
    <row r="109" spans="1:48" outlineLevel="1" x14ac:dyDescent="0.3">
      <c r="B109" s="69" t="s">
        <v>58</v>
      </c>
      <c r="C109" s="70"/>
      <c r="D109" s="120"/>
      <c r="E109" s="120"/>
      <c r="F109" s="120"/>
      <c r="G109" s="120"/>
      <c r="H109" s="58"/>
      <c r="I109" s="120">
        <f>I108/D108-1</f>
        <v>-1.9817677368212494E-2</v>
      </c>
      <c r="J109" s="120">
        <f t="shared" ref="J109" si="466">J108/E108-1</f>
        <v>0.16233766233766223</v>
      </c>
      <c r="K109" s="120">
        <f>K108/F108-1</f>
        <v>-0.1612600787549221</v>
      </c>
      <c r="L109" s="120">
        <f>L108/G108-1</f>
        <v>-8.6793938201141563E-2</v>
      </c>
      <c r="M109" s="168">
        <f>M108/H108-1</f>
        <v>-3.3925524440429511E-2</v>
      </c>
      <c r="N109" s="120">
        <f>N108/I108-1</f>
        <v>-0.24909017387788124</v>
      </c>
      <c r="O109" s="120">
        <f t="shared" ref="O109" si="467">O108/J108-1</f>
        <v>-0.28742053554228475</v>
      </c>
      <c r="P109" s="120">
        <f>P108/K108-1</f>
        <v>-7.4446680080482941E-2</v>
      </c>
      <c r="Q109" s="120">
        <f>Q108/L108-1</f>
        <v>-5.5387931034482696E-2</v>
      </c>
      <c r="R109" s="168">
        <f>R108/M108-1</f>
        <v>-0.17215584415584417</v>
      </c>
      <c r="S109" s="120">
        <f>S108/N108-1</f>
        <v>0.12304792676359733</v>
      </c>
      <c r="T109" s="120">
        <f t="shared" ref="T109:U109" si="468">T108/O108-1</f>
        <v>0.25195998918626672</v>
      </c>
      <c r="U109" s="120">
        <f t="shared" si="468"/>
        <v>0.15869565217391313</v>
      </c>
      <c r="V109" s="197">
        <v>0.1</v>
      </c>
      <c r="W109" s="168">
        <f>W108/R108-1</f>
        <v>0.15589231927710867</v>
      </c>
      <c r="X109" s="197">
        <v>0.1</v>
      </c>
      <c r="Y109" s="197">
        <v>0.04</v>
      </c>
      <c r="Z109" s="197">
        <v>0.04</v>
      </c>
      <c r="AA109" s="197">
        <v>0.04</v>
      </c>
      <c r="AB109" s="168">
        <f>AB108/W108-1</f>
        <v>5.3586097946287436E-2</v>
      </c>
      <c r="AC109" s="197">
        <v>0.04</v>
      </c>
      <c r="AD109" s="197">
        <v>0.04</v>
      </c>
      <c r="AE109" s="197">
        <v>0.04</v>
      </c>
      <c r="AF109" s="197">
        <v>0.04</v>
      </c>
      <c r="AG109" s="168">
        <f>AG108/AB108-1</f>
        <v>4.0000000000000036E-2</v>
      </c>
      <c r="AH109" s="197">
        <v>0.04</v>
      </c>
      <c r="AI109" s="197">
        <v>0.04</v>
      </c>
      <c r="AJ109" s="197">
        <v>0.04</v>
      </c>
      <c r="AK109" s="197">
        <v>0.04</v>
      </c>
      <c r="AL109" s="168">
        <f>AL108/AG108-1</f>
        <v>4.0000000000000036E-2</v>
      </c>
      <c r="AM109" s="197">
        <v>0.04</v>
      </c>
      <c r="AN109" s="197">
        <v>0.04</v>
      </c>
      <c r="AO109" s="197">
        <v>0.04</v>
      </c>
      <c r="AP109" s="197">
        <v>0.04</v>
      </c>
      <c r="AQ109" s="168">
        <f>AQ108/AL108-1</f>
        <v>4.0000000000000036E-2</v>
      </c>
      <c r="AR109" s="197">
        <v>0.04</v>
      </c>
      <c r="AS109" s="197">
        <v>0.04</v>
      </c>
      <c r="AT109" s="197">
        <v>0.04</v>
      </c>
      <c r="AU109" s="197">
        <v>0.04</v>
      </c>
      <c r="AV109" s="168">
        <f>AV108/AQ108-1</f>
        <v>4.0000000000000258E-2</v>
      </c>
    </row>
    <row r="110" spans="1:48" outlineLevel="1" x14ac:dyDescent="0.3">
      <c r="B110" s="458" t="s">
        <v>100</v>
      </c>
      <c r="C110" s="459"/>
      <c r="D110" s="48">
        <v>348.4</v>
      </c>
      <c r="E110" s="48">
        <v>305.39999999999998</v>
      </c>
      <c r="F110" s="48">
        <v>377.1</v>
      </c>
      <c r="G110" s="48">
        <v>359.1</v>
      </c>
      <c r="H110" s="76">
        <f>SUM(D110:G110)</f>
        <v>1390</v>
      </c>
      <c r="I110" s="48">
        <v>338.8</v>
      </c>
      <c r="J110" s="48">
        <v>351.6</v>
      </c>
      <c r="K110" s="48">
        <v>319.89999999999998</v>
      </c>
      <c r="L110" s="48">
        <v>327.8</v>
      </c>
      <c r="M110" s="76">
        <f>SUM(I110:L110)</f>
        <v>1338.1000000000001</v>
      </c>
      <c r="N110" s="48">
        <v>233.5</v>
      </c>
      <c r="O110" s="48">
        <v>231.9</v>
      </c>
      <c r="P110" s="48">
        <v>268.3</v>
      </c>
      <c r="Q110" s="105">
        <v>277.5</v>
      </c>
      <c r="R110" s="76">
        <f>SUM(N110:Q110)</f>
        <v>1011.2</v>
      </c>
      <c r="S110" s="48">
        <v>258.8</v>
      </c>
      <c r="T110" s="48">
        <v>300.5</v>
      </c>
      <c r="U110" s="48">
        <v>325.8</v>
      </c>
      <c r="V110" s="48">
        <f t="shared" ref="V110" si="469">V111*V108</f>
        <v>319.71390000000002</v>
      </c>
      <c r="W110" s="76">
        <f>SUM(S110:V110)</f>
        <v>1204.8138999999999</v>
      </c>
      <c r="X110" s="48">
        <f t="shared" ref="X110:AA110" si="470">X111*X108</f>
        <v>291.56215000000003</v>
      </c>
      <c r="Y110" s="48">
        <f t="shared" si="470"/>
        <v>312.52</v>
      </c>
      <c r="Z110" s="48">
        <f t="shared" si="470"/>
        <v>336.33756000000005</v>
      </c>
      <c r="AA110" s="48">
        <f t="shared" si="470"/>
        <v>317.46000000000004</v>
      </c>
      <c r="AB110" s="76">
        <f>SUM(X110:AA110)</f>
        <v>1257.8797100000002</v>
      </c>
      <c r="AC110" s="48">
        <f t="shared" ref="AC110:AF110" si="471">AC111*AC108</f>
        <v>303.22463600000009</v>
      </c>
      <c r="AD110" s="48">
        <f t="shared" si="471"/>
        <v>325.02080000000001</v>
      </c>
      <c r="AE110" s="48">
        <f t="shared" si="471"/>
        <v>339.41419200000001</v>
      </c>
      <c r="AF110" s="48">
        <f t="shared" si="471"/>
        <v>330.15840000000003</v>
      </c>
      <c r="AG110" s="76">
        <f>SUM(AC110:AF110)</f>
        <v>1297.8180280000001</v>
      </c>
      <c r="AH110" s="48">
        <f t="shared" ref="AH110:AK110" si="472">AH111*AH108</f>
        <v>315.3536214400001</v>
      </c>
      <c r="AI110" s="48">
        <f t="shared" si="472"/>
        <v>338.02163200000007</v>
      </c>
      <c r="AJ110" s="48">
        <f t="shared" si="472"/>
        <v>347.59478707200009</v>
      </c>
      <c r="AK110" s="48">
        <f t="shared" si="472"/>
        <v>343.36473600000005</v>
      </c>
      <c r="AL110" s="76">
        <f>SUM(AH110:AK110)</f>
        <v>1344.3347765120002</v>
      </c>
      <c r="AM110" s="48">
        <f t="shared" ref="AM110:AP110" si="473">AM111*AM108</f>
        <v>327.96776629760012</v>
      </c>
      <c r="AN110" s="48">
        <f t="shared" si="473"/>
        <v>351.54249728000008</v>
      </c>
      <c r="AO110" s="48">
        <f t="shared" si="473"/>
        <v>361.49857855488005</v>
      </c>
      <c r="AP110" s="48">
        <f t="shared" si="473"/>
        <v>357.09932544000009</v>
      </c>
      <c r="AQ110" s="76">
        <f>SUM(AM110:AP110)</f>
        <v>1398.1081675724804</v>
      </c>
      <c r="AR110" s="48">
        <f t="shared" ref="AR110:AU110" si="474">AR111*AR108</f>
        <v>341.08647694950417</v>
      </c>
      <c r="AS110" s="48">
        <f t="shared" si="474"/>
        <v>365.6041971712001</v>
      </c>
      <c r="AT110" s="48">
        <f t="shared" si="474"/>
        <v>375.95852169707524</v>
      </c>
      <c r="AU110" s="48">
        <f t="shared" si="474"/>
        <v>371.38329845760006</v>
      </c>
      <c r="AV110" s="76">
        <f>SUM(AR110:AU110)</f>
        <v>1454.0324942753796</v>
      </c>
    </row>
    <row r="111" spans="1:48" s="183" customFormat="1" outlineLevel="1" x14ac:dyDescent="0.3">
      <c r="A111" s="238"/>
      <c r="B111" s="181" t="s">
        <v>151</v>
      </c>
      <c r="C111" s="182"/>
      <c r="D111" s="167">
        <f>D110/D108</f>
        <v>0.69044787950852149</v>
      </c>
      <c r="E111" s="167">
        <f t="shared" ref="E111:U111" si="475">E110/E108</f>
        <v>0.68383340797133896</v>
      </c>
      <c r="F111" s="167">
        <f t="shared" si="475"/>
        <v>0.70710669416838567</v>
      </c>
      <c r="G111" s="167">
        <f t="shared" si="475"/>
        <v>0.70675063963786655</v>
      </c>
      <c r="H111" s="188">
        <f t="shared" si="475"/>
        <v>0.69758104988457292</v>
      </c>
      <c r="I111" s="167">
        <f t="shared" si="475"/>
        <v>0.68499797816417307</v>
      </c>
      <c r="J111" s="167">
        <f t="shared" si="475"/>
        <v>0.6773261413985745</v>
      </c>
      <c r="K111" s="167">
        <f t="shared" si="475"/>
        <v>0.71517996870109535</v>
      </c>
      <c r="L111" s="187">
        <f t="shared" si="475"/>
        <v>0.70646551724137929</v>
      </c>
      <c r="M111" s="188">
        <f t="shared" si="475"/>
        <v>0.69511688311688313</v>
      </c>
      <c r="N111" s="187">
        <f t="shared" si="475"/>
        <v>0.62870220786214326</v>
      </c>
      <c r="O111" s="167">
        <f t="shared" si="475"/>
        <v>0.62692619626926205</v>
      </c>
      <c r="P111" s="167">
        <f t="shared" si="475"/>
        <v>0.6480676328502416</v>
      </c>
      <c r="Q111" s="167">
        <f t="shared" si="475"/>
        <v>0.63312799452429835</v>
      </c>
      <c r="R111" s="188">
        <f t="shared" ref="R111" si="476">R110/R108</f>
        <v>0.63453815261044189</v>
      </c>
      <c r="S111" s="187">
        <f t="shared" si="475"/>
        <v>0.62047470630544233</v>
      </c>
      <c r="T111" s="167">
        <f t="shared" si="475"/>
        <v>0.64888792917296478</v>
      </c>
      <c r="U111" s="167">
        <f t="shared" si="475"/>
        <v>0.67917448405253289</v>
      </c>
      <c r="V111" s="189">
        <f>Q111+3%</f>
        <v>0.66312799452429838</v>
      </c>
      <c r="W111" s="188">
        <f t="shared" ref="W111" si="477">W110/W108</f>
        <v>0.65406855480095316</v>
      </c>
      <c r="X111" s="189">
        <f>S111+1.5%</f>
        <v>0.63547470630544234</v>
      </c>
      <c r="Y111" s="189">
        <f t="shared" ref="Y111" si="478">T111</f>
        <v>0.64888792917296478</v>
      </c>
      <c r="Z111" s="189">
        <f>U111-0.5%</f>
        <v>0.67417448405253289</v>
      </c>
      <c r="AA111" s="189">
        <f>V111-3%</f>
        <v>0.63312799452429835</v>
      </c>
      <c r="AB111" s="188">
        <f t="shared" ref="AB111" si="479">AB110/AB108</f>
        <v>0.64814530787579072</v>
      </c>
      <c r="AC111" s="189">
        <f t="shared" ref="AC111" si="480">X111</f>
        <v>0.63547470630544234</v>
      </c>
      <c r="AD111" s="189">
        <f t="shared" ref="AD111" si="481">Y111</f>
        <v>0.64888792917296478</v>
      </c>
      <c r="AE111" s="189">
        <f>Z111-2%</f>
        <v>0.65417448405253287</v>
      </c>
      <c r="AF111" s="189">
        <f t="shared" ref="AF111" si="482">AA111</f>
        <v>0.63312799452429835</v>
      </c>
      <c r="AG111" s="188">
        <f t="shared" ref="AG111" si="483">AG110/AG108</f>
        <v>0.64300408628226424</v>
      </c>
      <c r="AH111" s="189">
        <f t="shared" ref="AH111" si="484">AC111</f>
        <v>0.63547470630544234</v>
      </c>
      <c r="AI111" s="189">
        <f t="shared" ref="AI111" si="485">AD111</f>
        <v>0.64888792917296478</v>
      </c>
      <c r="AJ111" s="189">
        <f>AE111-1%</f>
        <v>0.64417448405253286</v>
      </c>
      <c r="AK111" s="189">
        <f t="shared" ref="AK111" si="486">AF111</f>
        <v>0.63312799452429835</v>
      </c>
      <c r="AL111" s="188">
        <f t="shared" ref="AL111" si="487">AL110/AL108</f>
        <v>0.640433475485501</v>
      </c>
      <c r="AM111" s="189">
        <f t="shared" ref="AM111" si="488">AH111</f>
        <v>0.63547470630544234</v>
      </c>
      <c r="AN111" s="189">
        <f t="shared" ref="AN111" si="489">AI111</f>
        <v>0.64888792917296478</v>
      </c>
      <c r="AO111" s="189">
        <f t="shared" ref="AO111" si="490">AJ111</f>
        <v>0.64417448405253286</v>
      </c>
      <c r="AP111" s="189">
        <f t="shared" ref="AP111" si="491">AK111</f>
        <v>0.63312799452429835</v>
      </c>
      <c r="AQ111" s="188">
        <f t="shared" ref="AQ111" si="492">AQ110/AQ108</f>
        <v>0.64043347548550111</v>
      </c>
      <c r="AR111" s="189">
        <f t="shared" ref="AR111" si="493">AM111</f>
        <v>0.63547470630544234</v>
      </c>
      <c r="AS111" s="189">
        <f t="shared" ref="AS111" si="494">AN111</f>
        <v>0.64888792917296478</v>
      </c>
      <c r="AT111" s="189">
        <f t="shared" ref="AT111" si="495">AO111</f>
        <v>0.64417448405253286</v>
      </c>
      <c r="AU111" s="189">
        <f t="shared" ref="AU111" si="496">AP111</f>
        <v>0.63312799452429835</v>
      </c>
      <c r="AV111" s="188">
        <f t="shared" ref="AV111" si="497">AV110/AV108</f>
        <v>0.640433475485501</v>
      </c>
    </row>
    <row r="112" spans="1:48" outlineLevel="1" x14ac:dyDescent="0.3">
      <c r="B112" s="180" t="s">
        <v>33</v>
      </c>
      <c r="C112" s="18"/>
      <c r="D112" s="48">
        <v>18.600000000000001</v>
      </c>
      <c r="E112" s="48">
        <v>17.100000000000001</v>
      </c>
      <c r="F112" s="48">
        <v>20.2</v>
      </c>
      <c r="G112" s="48">
        <v>20.3</v>
      </c>
      <c r="H112" s="49">
        <f>SUM(D112:G112)</f>
        <v>76.2</v>
      </c>
      <c r="I112" s="48">
        <v>20.6</v>
      </c>
      <c r="J112" s="48">
        <v>17.7</v>
      </c>
      <c r="K112" s="48">
        <v>51.4</v>
      </c>
      <c r="L112" s="48">
        <v>18.5</v>
      </c>
      <c r="M112" s="49">
        <f>SUM(I112:L112)</f>
        <v>108.19999999999999</v>
      </c>
      <c r="N112" s="48">
        <v>11.1</v>
      </c>
      <c r="O112" s="48">
        <v>13.1</v>
      </c>
      <c r="P112" s="48">
        <v>-9.9</v>
      </c>
      <c r="Q112" s="105">
        <v>17</v>
      </c>
      <c r="R112" s="49">
        <f>SUM(N112:Q112)</f>
        <v>31.299999999999997</v>
      </c>
      <c r="S112" s="48">
        <v>11.4</v>
      </c>
      <c r="T112" s="48">
        <v>10.7</v>
      </c>
      <c r="U112" s="48">
        <v>13.6</v>
      </c>
      <c r="V112" s="48">
        <f t="shared" ref="V112" si="498">V113*V108</f>
        <v>37.985200000000006</v>
      </c>
      <c r="W112" s="49">
        <f>SUM(S112:V112)</f>
        <v>73.685200000000009</v>
      </c>
      <c r="X112" s="48">
        <f t="shared" ref="X112:AA112" si="499">X113*X108</f>
        <v>21.716200000000004</v>
      </c>
      <c r="Y112" s="48">
        <f t="shared" si="499"/>
        <v>11.128</v>
      </c>
      <c r="Z112" s="48">
        <f t="shared" si="499"/>
        <v>11.649560000000001</v>
      </c>
      <c r="AA112" s="48">
        <f t="shared" si="499"/>
        <v>24.462152000000007</v>
      </c>
      <c r="AB112" s="49">
        <f>SUM(X112:AA112)</f>
        <v>68.955912000000012</v>
      </c>
      <c r="AC112" s="48">
        <f t="shared" ref="AC112:AF112" si="500">AC113*AC108</f>
        <v>13.041600000000003</v>
      </c>
      <c r="AD112" s="48">
        <f t="shared" si="500"/>
        <v>11.573120000000001</v>
      </c>
      <c r="AE112" s="48">
        <f t="shared" si="500"/>
        <v>12.115542399999999</v>
      </c>
      <c r="AF112" s="48">
        <f t="shared" si="500"/>
        <v>15.011201920000005</v>
      </c>
      <c r="AG112" s="49">
        <f>SUM(AC112:AF112)</f>
        <v>51.741464320000006</v>
      </c>
      <c r="AH112" s="48">
        <f t="shared" ref="AH112:AK112" si="501">AH113*AH108</f>
        <v>12.074517312000003</v>
      </c>
      <c r="AI112" s="48">
        <f t="shared" si="501"/>
        <v>12.036044800000003</v>
      </c>
      <c r="AJ112" s="48">
        <f t="shared" si="501"/>
        <v>12.600164096</v>
      </c>
      <c r="AK112" s="48">
        <f t="shared" si="501"/>
        <v>13.442327275520006</v>
      </c>
      <c r="AL112" s="49">
        <f>SUM(AH112:AK112)</f>
        <v>50.153053483520011</v>
      </c>
      <c r="AM112" s="48">
        <f t="shared" ref="AM112:AP112" si="502">AM113*AM108</f>
        <v>12.557498004480005</v>
      </c>
      <c r="AN112" s="48">
        <f t="shared" si="502"/>
        <v>12.517486592000003</v>
      </c>
      <c r="AO112" s="48">
        <f t="shared" si="502"/>
        <v>13.104170659840001</v>
      </c>
      <c r="AP112" s="48">
        <f t="shared" si="502"/>
        <v>13.980020366540806</v>
      </c>
      <c r="AQ112" s="49">
        <f>SUM(AM112:AP112)</f>
        <v>52.159175622860815</v>
      </c>
      <c r="AR112" s="48">
        <f t="shared" ref="AR112:AU112" si="503">AR113*AR108</f>
        <v>13.059797924659206</v>
      </c>
      <c r="AS112" s="48">
        <f t="shared" si="503"/>
        <v>13.018186055680003</v>
      </c>
      <c r="AT112" s="48">
        <f t="shared" si="503"/>
        <v>13.628337486233601</v>
      </c>
      <c r="AU112" s="48">
        <f t="shared" si="503"/>
        <v>14.539221181202437</v>
      </c>
      <c r="AV112" s="49">
        <f>SUM(AR112:AU112)</f>
        <v>54.245542647775245</v>
      </c>
    </row>
    <row r="113" spans="2:48" s="184" customFormat="1" outlineLevel="1" x14ac:dyDescent="0.3">
      <c r="B113" s="181" t="s">
        <v>154</v>
      </c>
      <c r="C113" s="190"/>
      <c r="D113" s="187">
        <f>D112/D108</f>
        <v>3.6860879904875153E-2</v>
      </c>
      <c r="E113" s="187">
        <f t="shared" ref="E113:U113" si="504">E112/E108</f>
        <v>3.8289296909986566E-2</v>
      </c>
      <c r="F113" s="187">
        <f t="shared" si="504"/>
        <v>3.7877367335458469E-2</v>
      </c>
      <c r="G113" s="187">
        <f t="shared" si="504"/>
        <v>3.9952765203700058E-2</v>
      </c>
      <c r="H113" s="188">
        <f t="shared" si="504"/>
        <v>3.8241493526046375E-2</v>
      </c>
      <c r="I113" s="187">
        <f t="shared" si="504"/>
        <v>4.1649818034775576E-2</v>
      </c>
      <c r="J113" s="187">
        <f t="shared" si="504"/>
        <v>3.4097476401464072E-2</v>
      </c>
      <c r="K113" s="187">
        <f t="shared" si="504"/>
        <v>0.11491169237648111</v>
      </c>
      <c r="L113" s="187">
        <f t="shared" si="504"/>
        <v>3.9870689655172417E-2</v>
      </c>
      <c r="M113" s="188">
        <f t="shared" si="504"/>
        <v>5.62077922077922E-2</v>
      </c>
      <c r="N113" s="187">
        <f t="shared" si="504"/>
        <v>2.9886914378029081E-2</v>
      </c>
      <c r="O113" s="187">
        <f t="shared" si="504"/>
        <v>3.5414977020816439E-2</v>
      </c>
      <c r="P113" s="187">
        <f t="shared" si="504"/>
        <v>-2.391304347826087E-2</v>
      </c>
      <c r="Q113" s="167">
        <f t="shared" si="504"/>
        <v>3.8786219484371436E-2</v>
      </c>
      <c r="R113" s="188">
        <f t="shared" ref="R113" si="505">R112/R108</f>
        <v>1.964106425702811E-2</v>
      </c>
      <c r="S113" s="187">
        <f t="shared" si="504"/>
        <v>2.7331575161831694E-2</v>
      </c>
      <c r="T113" s="187">
        <f t="shared" si="504"/>
        <v>2.3105160872381774E-2</v>
      </c>
      <c r="U113" s="187">
        <f t="shared" si="504"/>
        <v>2.8351052741296644E-2</v>
      </c>
      <c r="V113" s="189">
        <f>Q113+4%</f>
        <v>7.8786219484371436E-2</v>
      </c>
      <c r="W113" s="188">
        <f t="shared" ref="W113" si="506">W112/W108</f>
        <v>4.0002171517293419E-2</v>
      </c>
      <c r="X113" s="189">
        <f>S113+2%</f>
        <v>4.7331575161831695E-2</v>
      </c>
      <c r="Y113" s="189">
        <f t="shared" ref="Y113" si="507">T113</f>
        <v>2.3105160872381774E-2</v>
      </c>
      <c r="Z113" s="189">
        <f>U113-0.5%</f>
        <v>2.3351052741296643E-2</v>
      </c>
      <c r="AA113" s="189">
        <f>V113-3%</f>
        <v>4.8786219484371438E-2</v>
      </c>
      <c r="AB113" s="188">
        <f t="shared" ref="AB113" si="508">AB112/AB108</f>
        <v>3.5530782838603808E-2</v>
      </c>
      <c r="AC113" s="189">
        <f>X113-2%</f>
        <v>2.7331575161831694E-2</v>
      </c>
      <c r="AD113" s="189">
        <f t="shared" ref="AD113" si="509">Y113</f>
        <v>2.3105160872381774E-2</v>
      </c>
      <c r="AE113" s="189">
        <f t="shared" ref="AE113" si="510">Z113</f>
        <v>2.3351052741296643E-2</v>
      </c>
      <c r="AF113" s="189">
        <f>AA113-2%</f>
        <v>2.8786219484371437E-2</v>
      </c>
      <c r="AG113" s="188">
        <f t="shared" ref="AG113" si="511">AG112/AG108</f>
        <v>2.5635314250687827E-2</v>
      </c>
      <c r="AH113" s="189">
        <f>AC113-0.3%</f>
        <v>2.4331575161831695E-2</v>
      </c>
      <c r="AI113" s="189">
        <f t="shared" ref="AI113" si="512">AD113</f>
        <v>2.3105160872381774E-2</v>
      </c>
      <c r="AJ113" s="189">
        <f t="shared" ref="AJ113" si="513">AE113</f>
        <v>2.3351052741296643E-2</v>
      </c>
      <c r="AK113" s="189">
        <f>AF113-0.4%</f>
        <v>2.4786219484371437E-2</v>
      </c>
      <c r="AL113" s="188">
        <f t="shared" ref="AL113" si="514">AL112/AL108</f>
        <v>2.3892630697242262E-2</v>
      </c>
      <c r="AM113" s="189">
        <f t="shared" ref="AM113" si="515">AH113</f>
        <v>2.4331575161831695E-2</v>
      </c>
      <c r="AN113" s="189">
        <f t="shared" ref="AN113" si="516">AI113</f>
        <v>2.3105160872381774E-2</v>
      </c>
      <c r="AO113" s="189">
        <f t="shared" ref="AO113" si="517">AJ113</f>
        <v>2.3351052741296643E-2</v>
      </c>
      <c r="AP113" s="189">
        <f t="shared" ref="AP113" si="518">AK113</f>
        <v>2.4786219484371437E-2</v>
      </c>
      <c r="AQ113" s="188">
        <f t="shared" ref="AQ113" si="519">AQ112/AQ108</f>
        <v>2.3892630697242265E-2</v>
      </c>
      <c r="AR113" s="189">
        <f t="shared" ref="AR113" si="520">AM113</f>
        <v>2.4331575161831695E-2</v>
      </c>
      <c r="AS113" s="189">
        <f t="shared" ref="AS113" si="521">AN113</f>
        <v>2.3105160872381774E-2</v>
      </c>
      <c r="AT113" s="189">
        <f t="shared" ref="AT113" si="522">AO113</f>
        <v>2.3351052741296643E-2</v>
      </c>
      <c r="AU113" s="189">
        <f t="shared" ref="AU113" si="523">AP113</f>
        <v>2.4786219484371437E-2</v>
      </c>
      <c r="AV113" s="188">
        <f t="shared" ref="AV113" si="524">AV112/AV108</f>
        <v>2.3892630697242258E-2</v>
      </c>
    </row>
    <row r="114" spans="2:48" outlineLevel="1" x14ac:dyDescent="0.3">
      <c r="B114" s="180" t="s">
        <v>34</v>
      </c>
      <c r="C114" s="18"/>
      <c r="D114" s="358">
        <v>0</v>
      </c>
      <c r="E114" s="358">
        <v>12.3</v>
      </c>
      <c r="F114" s="358">
        <v>0.2</v>
      </c>
      <c r="G114" s="358">
        <v>0.3</v>
      </c>
      <c r="H114" s="126">
        <f>SUM(D114:G114)</f>
        <v>12.8</v>
      </c>
      <c r="I114" s="358">
        <v>0.3</v>
      </c>
      <c r="J114" s="358">
        <v>0.3</v>
      </c>
      <c r="K114" s="358">
        <v>0.3</v>
      </c>
      <c r="L114" s="358">
        <v>0.3</v>
      </c>
      <c r="M114" s="126">
        <f>SUM(I114:L114)</f>
        <v>1.2</v>
      </c>
      <c r="N114" s="358">
        <v>0.2</v>
      </c>
      <c r="O114" s="358">
        <v>0.3</v>
      </c>
      <c r="P114" s="358">
        <v>0.2</v>
      </c>
      <c r="Q114" s="358">
        <v>0.3</v>
      </c>
      <c r="R114" s="126">
        <f>SUM(N114:Q114)</f>
        <v>1</v>
      </c>
      <c r="S114" s="358">
        <v>0</v>
      </c>
      <c r="T114" s="358">
        <v>0</v>
      </c>
      <c r="U114" s="358">
        <v>0</v>
      </c>
      <c r="V114" s="360">
        <v>0</v>
      </c>
      <c r="W114" s="126">
        <f>SUM(S114:V114)</f>
        <v>0</v>
      </c>
      <c r="X114" s="360">
        <v>0</v>
      </c>
      <c r="Y114" s="360">
        <v>0</v>
      </c>
      <c r="Z114" s="360">
        <v>0</v>
      </c>
      <c r="AA114" s="360">
        <v>0</v>
      </c>
      <c r="AB114" s="126">
        <f>SUM(X114:AA114)</f>
        <v>0</v>
      </c>
      <c r="AC114" s="360">
        <v>0</v>
      </c>
      <c r="AD114" s="360">
        <v>0</v>
      </c>
      <c r="AE114" s="360">
        <v>0</v>
      </c>
      <c r="AF114" s="360">
        <v>0</v>
      </c>
      <c r="AG114" s="126">
        <f>SUM(AC114:AF114)</f>
        <v>0</v>
      </c>
      <c r="AH114" s="360">
        <v>0</v>
      </c>
      <c r="AI114" s="360">
        <v>0</v>
      </c>
      <c r="AJ114" s="360">
        <v>0</v>
      </c>
      <c r="AK114" s="360">
        <v>0</v>
      </c>
      <c r="AL114" s="126">
        <f>SUM(AH114:AK114)</f>
        <v>0</v>
      </c>
      <c r="AM114" s="360">
        <v>0</v>
      </c>
      <c r="AN114" s="360">
        <v>0</v>
      </c>
      <c r="AO114" s="360">
        <v>0</v>
      </c>
      <c r="AP114" s="360">
        <v>0</v>
      </c>
      <c r="AQ114" s="126">
        <f>SUM(AM114:AP114)</f>
        <v>0</v>
      </c>
      <c r="AR114" s="360">
        <v>0</v>
      </c>
      <c r="AS114" s="360">
        <v>0</v>
      </c>
      <c r="AT114" s="360">
        <v>0</v>
      </c>
      <c r="AU114" s="360">
        <v>0</v>
      </c>
      <c r="AV114" s="126">
        <f>SUM(AR114:AU114)</f>
        <v>0</v>
      </c>
    </row>
    <row r="115" spans="2:48" outlineLevel="1" x14ac:dyDescent="0.3">
      <c r="B115" s="180" t="s">
        <v>35</v>
      </c>
      <c r="C115" s="18"/>
      <c r="D115" s="48">
        <v>3.2</v>
      </c>
      <c r="E115" s="48">
        <v>3.1</v>
      </c>
      <c r="F115" s="48">
        <v>2.7</v>
      </c>
      <c r="G115" s="48">
        <v>2.6</v>
      </c>
      <c r="H115" s="49">
        <f>SUM(D115:G115)</f>
        <v>11.6</v>
      </c>
      <c r="I115" s="48">
        <v>2.4</v>
      </c>
      <c r="J115" s="48">
        <v>3</v>
      </c>
      <c r="K115" s="48">
        <v>2.5</v>
      </c>
      <c r="L115" s="48">
        <v>2.5</v>
      </c>
      <c r="M115" s="49">
        <f>SUM(I115:L115)</f>
        <v>10.4</v>
      </c>
      <c r="N115" s="48">
        <v>2.2000000000000002</v>
      </c>
      <c r="O115" s="48">
        <v>2.2999999999999998</v>
      </c>
      <c r="P115" s="48">
        <v>2.9</v>
      </c>
      <c r="Q115" s="105">
        <v>3.4</v>
      </c>
      <c r="R115" s="49">
        <f>SUM(N115:Q115)</f>
        <v>10.8</v>
      </c>
      <c r="S115" s="48">
        <v>3.3</v>
      </c>
      <c r="T115" s="48">
        <v>2.5</v>
      </c>
      <c r="U115" s="48">
        <v>2.2999999999999998</v>
      </c>
      <c r="V115" s="48">
        <f t="shared" ref="V115" si="525">V116*V108</f>
        <v>3.74</v>
      </c>
      <c r="W115" s="49">
        <f>SUM(S115:V115)</f>
        <v>11.84</v>
      </c>
      <c r="X115" s="48">
        <f t="shared" ref="X115:AA115" si="526">X116*X108</f>
        <v>3.63</v>
      </c>
      <c r="Y115" s="48">
        <f t="shared" si="526"/>
        <v>2.6</v>
      </c>
      <c r="Z115" s="48">
        <f t="shared" si="526"/>
        <v>2.3920000000000003</v>
      </c>
      <c r="AA115" s="48">
        <f t="shared" si="526"/>
        <v>3.8896000000000002</v>
      </c>
      <c r="AB115" s="49">
        <f>SUM(X115:AA115)</f>
        <v>12.5116</v>
      </c>
      <c r="AC115" s="48">
        <f t="shared" ref="AC115:AF115" si="527">AC116*AC108</f>
        <v>3.7751999999999999</v>
      </c>
      <c r="AD115" s="48">
        <f t="shared" si="527"/>
        <v>2.7040000000000002</v>
      </c>
      <c r="AE115" s="48">
        <f t="shared" si="527"/>
        <v>2.4876800000000001</v>
      </c>
      <c r="AF115" s="48">
        <f t="shared" si="527"/>
        <v>4.0451840000000008</v>
      </c>
      <c r="AG115" s="49">
        <f>SUM(AC115:AF115)</f>
        <v>13.012064000000001</v>
      </c>
      <c r="AH115" s="48">
        <f t="shared" ref="AH115:AK115" si="528">AH116*AH108</f>
        <v>3.9262080000000004</v>
      </c>
      <c r="AI115" s="48">
        <f t="shared" si="528"/>
        <v>2.8121600000000004</v>
      </c>
      <c r="AJ115" s="48">
        <f t="shared" si="528"/>
        <v>2.5871872000000002</v>
      </c>
      <c r="AK115" s="48">
        <f t="shared" si="528"/>
        <v>4.2069913600000008</v>
      </c>
      <c r="AL115" s="49">
        <f>SUM(AH115:AK115)</f>
        <v>13.532546560000004</v>
      </c>
      <c r="AM115" s="48">
        <f t="shared" ref="AM115:AP115" si="529">AM116*AM108</f>
        <v>4.0832563200000003</v>
      </c>
      <c r="AN115" s="48">
        <f t="shared" si="529"/>
        <v>2.9246464000000003</v>
      </c>
      <c r="AO115" s="48">
        <f t="shared" si="529"/>
        <v>2.6906746880000001</v>
      </c>
      <c r="AP115" s="48">
        <f t="shared" si="529"/>
        <v>4.3752710144000009</v>
      </c>
      <c r="AQ115" s="49">
        <f>SUM(AM115:AP115)</f>
        <v>14.073848422400001</v>
      </c>
      <c r="AR115" s="48">
        <f t="shared" ref="AR115:AU115" si="530">AR116*AR108</f>
        <v>4.246586572800001</v>
      </c>
      <c r="AS115" s="48">
        <f t="shared" si="530"/>
        <v>3.0416322560000006</v>
      </c>
      <c r="AT115" s="48">
        <f t="shared" si="530"/>
        <v>2.7983016755200003</v>
      </c>
      <c r="AU115" s="48">
        <f t="shared" si="530"/>
        <v>4.5502818549760011</v>
      </c>
      <c r="AV115" s="49">
        <f>SUM(AR115:AU115)</f>
        <v>14.636802359296004</v>
      </c>
    </row>
    <row r="116" spans="2:48" s="184" customFormat="1" outlineLevel="1" x14ac:dyDescent="0.3">
      <c r="B116" s="181" t="s">
        <v>153</v>
      </c>
      <c r="C116" s="190"/>
      <c r="D116" s="187">
        <f>D115/D108</f>
        <v>6.3416567578279829E-3</v>
      </c>
      <c r="E116" s="187">
        <f t="shared" ref="E116:Q116" si="531">E115/E108</f>
        <v>6.9413345275414241E-3</v>
      </c>
      <c r="F116" s="187">
        <f t="shared" si="531"/>
        <v>5.0628164260266275E-3</v>
      </c>
      <c r="G116" s="187">
        <f t="shared" si="531"/>
        <v>5.1171029324936033E-3</v>
      </c>
      <c r="H116" s="188">
        <f t="shared" si="531"/>
        <v>5.8215396968784505E-3</v>
      </c>
      <c r="I116" s="187">
        <f t="shared" si="531"/>
        <v>4.8524059846340476E-3</v>
      </c>
      <c r="J116" s="187">
        <f t="shared" si="531"/>
        <v>5.7792332883837404E-3</v>
      </c>
      <c r="K116" s="187">
        <f t="shared" si="531"/>
        <v>5.5890900961323492E-3</v>
      </c>
      <c r="L116" s="187">
        <f t="shared" si="531"/>
        <v>5.387931034482759E-3</v>
      </c>
      <c r="M116" s="188">
        <f t="shared" si="531"/>
        <v>5.4025974025974028E-3</v>
      </c>
      <c r="N116" s="187">
        <f t="shared" si="531"/>
        <v>5.9235325794291874E-3</v>
      </c>
      <c r="O116" s="187">
        <f t="shared" si="531"/>
        <v>6.2178967288456337E-3</v>
      </c>
      <c r="P116" s="187">
        <f t="shared" si="531"/>
        <v>7.0048309178743955E-3</v>
      </c>
      <c r="Q116" s="167">
        <f t="shared" si="531"/>
        <v>7.7572438968742862E-3</v>
      </c>
      <c r="R116" s="188">
        <f t="shared" ref="R116:U116" si="532">R115/R108</f>
        <v>6.7771084337349408E-3</v>
      </c>
      <c r="S116" s="187">
        <f t="shared" si="532"/>
        <v>7.9117717573723313E-3</v>
      </c>
      <c r="T116" s="187">
        <f t="shared" si="532"/>
        <v>5.3984020729863956E-3</v>
      </c>
      <c r="U116" s="187">
        <f t="shared" si="532"/>
        <v>4.7946633312486971E-3</v>
      </c>
      <c r="V116" s="189">
        <f>Q116</f>
        <v>7.7572438968742862E-3</v>
      </c>
      <c r="W116" s="188">
        <f t="shared" ref="W116" si="533">W115/W108</f>
        <v>6.4276911885257021E-3</v>
      </c>
      <c r="X116" s="189">
        <f t="shared" ref="X116" si="534">S116</f>
        <v>7.9117717573723313E-3</v>
      </c>
      <c r="Y116" s="189">
        <f t="shared" ref="Y116" si="535">T116</f>
        <v>5.3984020729863956E-3</v>
      </c>
      <c r="Z116" s="189">
        <f t="shared" ref="Z116" si="536">U116</f>
        <v>4.7946633312486971E-3</v>
      </c>
      <c r="AA116" s="189">
        <f t="shared" ref="AA116" si="537">V116</f>
        <v>7.7572438968742862E-3</v>
      </c>
      <c r="AB116" s="188">
        <f t="shared" ref="AB116" si="538">AB115/AB108</f>
        <v>6.4468285556643105E-3</v>
      </c>
      <c r="AC116" s="189">
        <f t="shared" ref="AC116" si="539">X116</f>
        <v>7.9117717573723313E-3</v>
      </c>
      <c r="AD116" s="189">
        <f t="shared" ref="AD116" si="540">Y116</f>
        <v>5.3984020729863956E-3</v>
      </c>
      <c r="AE116" s="189">
        <f t="shared" ref="AE116" si="541">Z116</f>
        <v>4.7946633312486971E-3</v>
      </c>
      <c r="AF116" s="189">
        <f t="shared" ref="AF116" si="542">AA116</f>
        <v>7.7572438968742862E-3</v>
      </c>
      <c r="AG116" s="188">
        <f t="shared" ref="AG116" si="543">AG115/AG108</f>
        <v>6.4468285556643096E-3</v>
      </c>
      <c r="AH116" s="189">
        <f t="shared" ref="AH116" si="544">AC116</f>
        <v>7.9117717573723313E-3</v>
      </c>
      <c r="AI116" s="189">
        <f t="shared" ref="AI116" si="545">AD116</f>
        <v>5.3984020729863956E-3</v>
      </c>
      <c r="AJ116" s="189">
        <f t="shared" ref="AJ116" si="546">AE116</f>
        <v>4.7946633312486971E-3</v>
      </c>
      <c r="AK116" s="189">
        <f t="shared" ref="AK116" si="547">AF116</f>
        <v>7.7572438968742862E-3</v>
      </c>
      <c r="AL116" s="188">
        <f t="shared" ref="AL116" si="548">AL115/AL108</f>
        <v>6.4468285556643114E-3</v>
      </c>
      <c r="AM116" s="189">
        <f t="shared" ref="AM116" si="549">AH116</f>
        <v>7.9117717573723313E-3</v>
      </c>
      <c r="AN116" s="189">
        <f t="shared" ref="AN116" si="550">AI116</f>
        <v>5.3984020729863956E-3</v>
      </c>
      <c r="AO116" s="189">
        <f t="shared" ref="AO116" si="551">AJ116</f>
        <v>4.7946633312486971E-3</v>
      </c>
      <c r="AP116" s="189">
        <f t="shared" ref="AP116" si="552">AK116</f>
        <v>7.7572438968742862E-3</v>
      </c>
      <c r="AQ116" s="188">
        <f t="shared" ref="AQ116" si="553">AQ115/AQ108</f>
        <v>6.4468285556643105E-3</v>
      </c>
      <c r="AR116" s="189">
        <f t="shared" ref="AR116" si="554">AM116</f>
        <v>7.9117717573723313E-3</v>
      </c>
      <c r="AS116" s="189">
        <f t="shared" ref="AS116" si="555">AN116</f>
        <v>5.3984020729863956E-3</v>
      </c>
      <c r="AT116" s="189">
        <f t="shared" ref="AT116" si="556">AO116</f>
        <v>4.7946633312486971E-3</v>
      </c>
      <c r="AU116" s="189">
        <f t="shared" ref="AU116" si="557">AP116</f>
        <v>7.7572438968742862E-3</v>
      </c>
      <c r="AV116" s="188">
        <f t="shared" ref="AV116" si="558">AV115/AV108</f>
        <v>6.4468285556643105E-3</v>
      </c>
    </row>
    <row r="117" spans="2:48" ht="16.2" outlineLevel="1" x14ac:dyDescent="0.45">
      <c r="B117" s="180" t="s">
        <v>42</v>
      </c>
      <c r="C117" s="18"/>
      <c r="D117" s="119">
        <v>0</v>
      </c>
      <c r="E117" s="119">
        <v>0</v>
      </c>
      <c r="F117" s="119">
        <v>0</v>
      </c>
      <c r="G117" s="119">
        <v>0</v>
      </c>
      <c r="H117" s="131">
        <f>SUM(D117:G117)</f>
        <v>0</v>
      </c>
      <c r="I117" s="119">
        <v>0</v>
      </c>
      <c r="J117" s="119">
        <v>0</v>
      </c>
      <c r="K117" s="119">
        <v>0</v>
      </c>
      <c r="L117" s="119">
        <v>0</v>
      </c>
      <c r="M117" s="131">
        <f>SUM(I117:L117)</f>
        <v>0</v>
      </c>
      <c r="N117" s="119">
        <v>0</v>
      </c>
      <c r="O117" s="119">
        <v>0</v>
      </c>
      <c r="P117" s="119">
        <v>0</v>
      </c>
      <c r="Q117" s="119">
        <v>0</v>
      </c>
      <c r="R117" s="131">
        <f>SUM(N117:Q117)</f>
        <v>0</v>
      </c>
      <c r="S117" s="119">
        <v>0</v>
      </c>
      <c r="T117" s="119">
        <v>0</v>
      </c>
      <c r="U117" s="119">
        <v>0</v>
      </c>
      <c r="V117" s="119">
        <f>IFERROR((V163*(U117/U163)),0)</f>
        <v>0</v>
      </c>
      <c r="W117" s="131">
        <f>SUM(S117:V117)</f>
        <v>0</v>
      </c>
      <c r="X117" s="119">
        <f>IFERROR((X163*(V117/V163)),0)</f>
        <v>0</v>
      </c>
      <c r="Y117" s="119">
        <f t="shared" ref="Y117:AA117" si="559">IFERROR((Y163*(X117/X163)),0)</f>
        <v>0</v>
      </c>
      <c r="Z117" s="119">
        <f t="shared" si="559"/>
        <v>0</v>
      </c>
      <c r="AA117" s="119">
        <f t="shared" si="559"/>
        <v>0</v>
      </c>
      <c r="AB117" s="131">
        <f>SUM(X117:AA117)</f>
        <v>0</v>
      </c>
      <c r="AC117" s="119">
        <f>IFERROR((AC163*(AA117/AA163)),0)</f>
        <v>0</v>
      </c>
      <c r="AD117" s="119">
        <f t="shared" ref="AD117:AF117" si="560">IFERROR((AD163*(AC117/AC163)),0)</f>
        <v>0</v>
      </c>
      <c r="AE117" s="119">
        <f t="shared" si="560"/>
        <v>0</v>
      </c>
      <c r="AF117" s="119">
        <f t="shared" si="560"/>
        <v>0</v>
      </c>
      <c r="AG117" s="131">
        <f>SUM(AC117:AF117)</f>
        <v>0</v>
      </c>
      <c r="AH117" s="119">
        <f>IFERROR((AH163*(AF117/AF163)),0)</f>
        <v>0</v>
      </c>
      <c r="AI117" s="119">
        <f t="shared" ref="AI117:AK117" si="561">IFERROR((AI163*(AH117/AH163)),0)</f>
        <v>0</v>
      </c>
      <c r="AJ117" s="119">
        <f t="shared" si="561"/>
        <v>0</v>
      </c>
      <c r="AK117" s="119">
        <f t="shared" si="561"/>
        <v>0</v>
      </c>
      <c r="AL117" s="131">
        <f>SUM(AH117:AK117)</f>
        <v>0</v>
      </c>
      <c r="AM117" s="119">
        <f>IFERROR((AM163*(AK117/AK163)),0)</f>
        <v>0</v>
      </c>
      <c r="AN117" s="119">
        <f t="shared" ref="AN117:AP117" si="562">IFERROR((AN163*(AM117/AM163)),0)</f>
        <v>0</v>
      </c>
      <c r="AO117" s="119">
        <f t="shared" si="562"/>
        <v>0</v>
      </c>
      <c r="AP117" s="119">
        <f t="shared" si="562"/>
        <v>0</v>
      </c>
      <c r="AQ117" s="131">
        <f>SUM(AM117:AP117)</f>
        <v>0</v>
      </c>
      <c r="AR117" s="119">
        <f>IFERROR((AR163*(AP117/AP163)),0)</f>
        <v>0</v>
      </c>
      <c r="AS117" s="119">
        <f t="shared" ref="AS117:AU117" si="563">IFERROR((AS163*(AR117/AR163)),0)</f>
        <v>0</v>
      </c>
      <c r="AT117" s="119">
        <f t="shared" si="563"/>
        <v>0</v>
      </c>
      <c r="AU117" s="119">
        <f t="shared" si="563"/>
        <v>0</v>
      </c>
      <c r="AV117" s="131">
        <f>SUM(AR117:AU117)</f>
        <v>0</v>
      </c>
    </row>
    <row r="118" spans="2:48" outlineLevel="1" x14ac:dyDescent="0.3">
      <c r="B118" s="46" t="s">
        <v>52</v>
      </c>
      <c r="C118" s="19"/>
      <c r="D118" s="50">
        <f>D110+D112+D114+D115+D117</f>
        <v>370.2</v>
      </c>
      <c r="E118" s="50">
        <f t="shared" ref="E118:AU118" si="564">E110+E112+E114+E115+E117</f>
        <v>337.90000000000003</v>
      </c>
      <c r="F118" s="50">
        <f t="shared" si="564"/>
        <v>400.2</v>
      </c>
      <c r="G118" s="50">
        <f t="shared" si="564"/>
        <v>382.30000000000007</v>
      </c>
      <c r="H118" s="26">
        <f t="shared" si="564"/>
        <v>1490.6</v>
      </c>
      <c r="I118" s="50">
        <f t="shared" si="564"/>
        <v>362.1</v>
      </c>
      <c r="J118" s="50">
        <f t="shared" si="564"/>
        <v>372.6</v>
      </c>
      <c r="K118" s="50">
        <f t="shared" si="564"/>
        <v>374.09999999999997</v>
      </c>
      <c r="L118" s="50">
        <f t="shared" si="564"/>
        <v>349.1</v>
      </c>
      <c r="M118" s="26">
        <f t="shared" si="564"/>
        <v>1457.9000000000003</v>
      </c>
      <c r="N118" s="50">
        <f t="shared" si="564"/>
        <v>246.99999999999997</v>
      </c>
      <c r="O118" s="50">
        <f t="shared" si="564"/>
        <v>247.60000000000002</v>
      </c>
      <c r="P118" s="50">
        <f t="shared" si="564"/>
        <v>261.5</v>
      </c>
      <c r="Q118" s="103">
        <f t="shared" si="564"/>
        <v>298.2</v>
      </c>
      <c r="R118" s="26">
        <f t="shared" si="564"/>
        <v>1054.3</v>
      </c>
      <c r="S118" s="50">
        <f t="shared" si="564"/>
        <v>273.5</v>
      </c>
      <c r="T118" s="50">
        <f t="shared" si="564"/>
        <v>313.7</v>
      </c>
      <c r="U118" s="50">
        <f t="shared" si="564"/>
        <v>341.70000000000005</v>
      </c>
      <c r="V118" s="50">
        <f t="shared" si="564"/>
        <v>361.43910000000005</v>
      </c>
      <c r="W118" s="26">
        <f t="shared" si="564"/>
        <v>1290.3390999999999</v>
      </c>
      <c r="X118" s="50">
        <f t="shared" si="564"/>
        <v>316.90835000000004</v>
      </c>
      <c r="Y118" s="50">
        <f t="shared" si="564"/>
        <v>326.24799999999999</v>
      </c>
      <c r="Z118" s="50">
        <f t="shared" si="564"/>
        <v>350.37912000000006</v>
      </c>
      <c r="AA118" s="50">
        <f t="shared" si="564"/>
        <v>345.81175200000001</v>
      </c>
      <c r="AB118" s="26">
        <f t="shared" si="564"/>
        <v>1339.3472220000001</v>
      </c>
      <c r="AC118" s="50">
        <f t="shared" ref="AC118:AF118" si="565">AC110+AC112+AC114+AC115+AC117</f>
        <v>320.04143600000009</v>
      </c>
      <c r="AD118" s="50">
        <f t="shared" si="565"/>
        <v>339.29792000000003</v>
      </c>
      <c r="AE118" s="50">
        <f t="shared" si="565"/>
        <v>354.01741440000001</v>
      </c>
      <c r="AF118" s="50">
        <f t="shared" si="565"/>
        <v>349.21478592000005</v>
      </c>
      <c r="AG118" s="26">
        <f t="shared" si="564"/>
        <v>1362.5715563200001</v>
      </c>
      <c r="AH118" s="50">
        <f t="shared" si="564"/>
        <v>331.35434675200008</v>
      </c>
      <c r="AI118" s="50">
        <f t="shared" si="564"/>
        <v>352.86983680000009</v>
      </c>
      <c r="AJ118" s="50">
        <f t="shared" si="564"/>
        <v>362.78213836800012</v>
      </c>
      <c r="AK118" s="50">
        <f t="shared" si="564"/>
        <v>361.0140546355201</v>
      </c>
      <c r="AL118" s="26">
        <f t="shared" si="564"/>
        <v>1408.0203765555202</v>
      </c>
      <c r="AM118" s="50">
        <f t="shared" si="564"/>
        <v>344.60852062208011</v>
      </c>
      <c r="AN118" s="50">
        <f t="shared" si="564"/>
        <v>366.98463027200012</v>
      </c>
      <c r="AO118" s="50">
        <f t="shared" si="564"/>
        <v>377.29342390272006</v>
      </c>
      <c r="AP118" s="50">
        <f t="shared" si="564"/>
        <v>375.45461682094094</v>
      </c>
      <c r="AQ118" s="26">
        <f t="shared" si="564"/>
        <v>1464.3411916177413</v>
      </c>
      <c r="AR118" s="50">
        <f t="shared" si="564"/>
        <v>358.39286144696342</v>
      </c>
      <c r="AS118" s="50">
        <f t="shared" si="564"/>
        <v>381.66401548288013</v>
      </c>
      <c r="AT118" s="50">
        <f t="shared" si="564"/>
        <v>392.38516085882884</v>
      </c>
      <c r="AU118" s="50">
        <f t="shared" si="564"/>
        <v>390.47280149377849</v>
      </c>
      <c r="AV118" s="26">
        <f t="shared" ref="AV118" si="566">AV110+AV112+AV114+AV115+AV117</f>
        <v>1522.9148392824509</v>
      </c>
    </row>
    <row r="119" spans="2:48" ht="16.2" outlineLevel="1" x14ac:dyDescent="0.45">
      <c r="B119" s="47" t="s">
        <v>36</v>
      </c>
      <c r="C119" s="44"/>
      <c r="D119" s="52">
        <v>41.4</v>
      </c>
      <c r="E119" s="104">
        <v>40.200000000000003</v>
      </c>
      <c r="F119" s="104">
        <v>48.8</v>
      </c>
      <c r="G119" s="104">
        <v>65.099999999999994</v>
      </c>
      <c r="H119" s="193">
        <f>SUM(D119:G119)</f>
        <v>195.49999999999997</v>
      </c>
      <c r="I119" s="104">
        <v>43</v>
      </c>
      <c r="J119" s="104">
        <v>43.1</v>
      </c>
      <c r="K119" s="104">
        <v>51</v>
      </c>
      <c r="L119" s="104">
        <v>83</v>
      </c>
      <c r="M119" s="193">
        <f>SUM(I119:L119)</f>
        <v>220.1</v>
      </c>
      <c r="N119" s="104">
        <v>56.4</v>
      </c>
      <c r="O119" s="104">
        <v>50.3</v>
      </c>
      <c r="P119" s="104">
        <v>63.5</v>
      </c>
      <c r="Q119" s="104">
        <v>79.7</v>
      </c>
      <c r="R119" s="193">
        <f>SUM(N119:Q119)</f>
        <v>249.89999999999998</v>
      </c>
      <c r="S119" s="104">
        <v>39.6</v>
      </c>
      <c r="T119" s="104">
        <v>48.5</v>
      </c>
      <c r="U119" s="104">
        <v>53.7</v>
      </c>
      <c r="V119" s="56">
        <f>U119</f>
        <v>53.7</v>
      </c>
      <c r="W119" s="193">
        <f>SUM(S119:V119)</f>
        <v>195.5</v>
      </c>
      <c r="X119" s="56">
        <f>V119</f>
        <v>53.7</v>
      </c>
      <c r="Y119" s="56">
        <f>X119</f>
        <v>53.7</v>
      </c>
      <c r="Z119" s="56">
        <f>Y119</f>
        <v>53.7</v>
      </c>
      <c r="AA119" s="56">
        <f>Z119</f>
        <v>53.7</v>
      </c>
      <c r="AB119" s="193">
        <f>SUM(X119:AA119)</f>
        <v>214.8</v>
      </c>
      <c r="AC119" s="56">
        <f>AA119</f>
        <v>53.7</v>
      </c>
      <c r="AD119" s="56">
        <f>AC119</f>
        <v>53.7</v>
      </c>
      <c r="AE119" s="56">
        <f>AD119</f>
        <v>53.7</v>
      </c>
      <c r="AF119" s="56">
        <f>AE119</f>
        <v>53.7</v>
      </c>
      <c r="AG119" s="193">
        <f>SUM(AC119:AF119)</f>
        <v>214.8</v>
      </c>
      <c r="AH119" s="56">
        <f>AF119</f>
        <v>53.7</v>
      </c>
      <c r="AI119" s="56">
        <f>AH119</f>
        <v>53.7</v>
      </c>
      <c r="AJ119" s="56">
        <f>AI119</f>
        <v>53.7</v>
      </c>
      <c r="AK119" s="56">
        <f>AJ119</f>
        <v>53.7</v>
      </c>
      <c r="AL119" s="193">
        <f>SUM(AH119:AK119)</f>
        <v>214.8</v>
      </c>
      <c r="AM119" s="56">
        <f>AK119</f>
        <v>53.7</v>
      </c>
      <c r="AN119" s="56">
        <f>AM119</f>
        <v>53.7</v>
      </c>
      <c r="AO119" s="56">
        <f>AN119</f>
        <v>53.7</v>
      </c>
      <c r="AP119" s="56">
        <f>AO119</f>
        <v>53.7</v>
      </c>
      <c r="AQ119" s="193">
        <f>SUM(AM119:AP119)</f>
        <v>214.8</v>
      </c>
      <c r="AR119" s="56">
        <f>AP119</f>
        <v>53.7</v>
      </c>
      <c r="AS119" s="56">
        <f>AR119</f>
        <v>53.7</v>
      </c>
      <c r="AT119" s="56">
        <f>AS119</f>
        <v>53.7</v>
      </c>
      <c r="AU119" s="56">
        <f>AT119</f>
        <v>53.7</v>
      </c>
      <c r="AV119" s="193">
        <f>SUM(AR119:AU119)</f>
        <v>214.8</v>
      </c>
    </row>
    <row r="120" spans="2:48" outlineLevel="1" x14ac:dyDescent="0.3">
      <c r="B120" s="46" t="s">
        <v>53</v>
      </c>
      <c r="C120" s="44"/>
      <c r="D120" s="156">
        <f t="shared" ref="D120:AU120" si="567">D108-D118+D119</f>
        <v>175.80000000000004</v>
      </c>
      <c r="E120" s="156">
        <f t="shared" si="567"/>
        <v>148.89999999999998</v>
      </c>
      <c r="F120" s="156">
        <f t="shared" si="567"/>
        <v>181.89999999999998</v>
      </c>
      <c r="G120" s="156">
        <f t="shared" si="567"/>
        <v>190.89999999999995</v>
      </c>
      <c r="H120" s="97">
        <f t="shared" si="567"/>
        <v>697.5</v>
      </c>
      <c r="I120" s="156">
        <f t="shared" si="567"/>
        <v>175.5</v>
      </c>
      <c r="J120" s="156">
        <f t="shared" si="567"/>
        <v>189.6</v>
      </c>
      <c r="K120" s="156">
        <f t="shared" si="567"/>
        <v>124.20000000000005</v>
      </c>
      <c r="L120" s="74">
        <f t="shared" si="567"/>
        <v>197.89999999999998</v>
      </c>
      <c r="M120" s="97">
        <f t="shared" si="567"/>
        <v>687.1999999999997</v>
      </c>
      <c r="N120" s="74">
        <f t="shared" si="567"/>
        <v>180.8</v>
      </c>
      <c r="O120" s="74">
        <f t="shared" si="567"/>
        <v>172.59999999999997</v>
      </c>
      <c r="P120" s="74">
        <f t="shared" si="567"/>
        <v>216</v>
      </c>
      <c r="Q120" s="74">
        <f t="shared" si="567"/>
        <v>219.8</v>
      </c>
      <c r="R120" s="97">
        <f t="shared" si="567"/>
        <v>789.19999999999993</v>
      </c>
      <c r="S120" s="74">
        <f t="shared" si="567"/>
        <v>183.20000000000002</v>
      </c>
      <c r="T120" s="74">
        <f t="shared" si="567"/>
        <v>197.90000000000003</v>
      </c>
      <c r="U120" s="74">
        <f t="shared" si="567"/>
        <v>191.69999999999993</v>
      </c>
      <c r="V120" s="74">
        <f t="shared" si="567"/>
        <v>174.39089999999999</v>
      </c>
      <c r="W120" s="97">
        <f t="shared" si="567"/>
        <v>747.19090000000028</v>
      </c>
      <c r="X120" s="74">
        <f t="shared" si="567"/>
        <v>195.60165000000001</v>
      </c>
      <c r="Y120" s="74">
        <f t="shared" si="567"/>
        <v>209.07600000000002</v>
      </c>
      <c r="Z120" s="74">
        <f t="shared" si="567"/>
        <v>202.20887999999997</v>
      </c>
      <c r="AA120" s="74">
        <f t="shared" si="567"/>
        <v>209.30344800000006</v>
      </c>
      <c r="AB120" s="97">
        <f t="shared" si="567"/>
        <v>816.18997800000011</v>
      </c>
      <c r="AC120" s="74">
        <f t="shared" ref="AC120:AF120" si="568">AC108-AC118+AC119</f>
        <v>210.820964</v>
      </c>
      <c r="AD120" s="74">
        <f t="shared" si="568"/>
        <v>215.29104000000001</v>
      </c>
      <c r="AE120" s="74">
        <f t="shared" si="568"/>
        <v>218.52610559999999</v>
      </c>
      <c r="AF120" s="74">
        <f t="shared" si="568"/>
        <v>225.95702208000006</v>
      </c>
      <c r="AG120" s="97">
        <f t="shared" si="567"/>
        <v>870.59513168000035</v>
      </c>
      <c r="AH120" s="74">
        <f t="shared" si="567"/>
        <v>218.59454924800002</v>
      </c>
      <c r="AI120" s="74">
        <f t="shared" si="567"/>
        <v>221.75468160000003</v>
      </c>
      <c r="AJ120" s="74">
        <f t="shared" si="567"/>
        <v>230.51512243199994</v>
      </c>
      <c r="AK120" s="74">
        <f t="shared" si="567"/>
        <v>235.01662568448006</v>
      </c>
      <c r="AL120" s="97">
        <f t="shared" si="567"/>
        <v>905.88097896448039</v>
      </c>
      <c r="AM120" s="74">
        <f t="shared" si="567"/>
        <v>225.19033121792006</v>
      </c>
      <c r="AN120" s="74">
        <f t="shared" si="567"/>
        <v>228.47686886399998</v>
      </c>
      <c r="AO120" s="74">
        <f t="shared" si="567"/>
        <v>237.58772732927997</v>
      </c>
      <c r="AP120" s="74">
        <f t="shared" si="567"/>
        <v>242.26929071185924</v>
      </c>
      <c r="AQ120" s="97">
        <f t="shared" si="567"/>
        <v>933.5242181230592</v>
      </c>
      <c r="AR120" s="74">
        <f t="shared" si="567"/>
        <v>232.04994446663682</v>
      </c>
      <c r="AS120" s="74">
        <f t="shared" si="567"/>
        <v>235.46794361856001</v>
      </c>
      <c r="AT120" s="74">
        <f t="shared" si="567"/>
        <v>244.94323642245121</v>
      </c>
      <c r="AU120" s="74">
        <f t="shared" si="567"/>
        <v>249.81206234033368</v>
      </c>
      <c r="AV120" s="97">
        <f t="shared" ref="AV120" si="569">AV108-AV118+AV119</f>
        <v>962.27318684798206</v>
      </c>
    </row>
    <row r="121" spans="2:48" outlineLevel="1" x14ac:dyDescent="0.3">
      <c r="B121" s="46" t="s">
        <v>54</v>
      </c>
      <c r="C121" s="44"/>
      <c r="D121" s="157">
        <f>+D120/D108</f>
        <v>0.34839476813317488</v>
      </c>
      <c r="E121" s="157">
        <f>+E120/E108</f>
        <v>0.33340797133900574</v>
      </c>
      <c r="F121" s="157">
        <f>+F120/F108</f>
        <v>0.34108381773860863</v>
      </c>
      <c r="G121" s="157">
        <f>+G120/G108</f>
        <v>0.37571344223578024</v>
      </c>
      <c r="H121" s="125">
        <f>H120/H108</f>
        <v>0.35004516711833789</v>
      </c>
      <c r="I121" s="157">
        <f t="shared" ref="I121:AU121" si="570">+I120/I108</f>
        <v>0.3548321876263647</v>
      </c>
      <c r="J121" s="157">
        <f t="shared" si="570"/>
        <v>0.36524754382585239</v>
      </c>
      <c r="K121" s="157">
        <f t="shared" si="570"/>
        <v>0.27766599597585523</v>
      </c>
      <c r="L121" s="75">
        <f t="shared" si="570"/>
        <v>0.42650862068965512</v>
      </c>
      <c r="M121" s="98">
        <f t="shared" si="570"/>
        <v>0.35698701298701285</v>
      </c>
      <c r="N121" s="75">
        <f t="shared" si="570"/>
        <v>0.48680667743672595</v>
      </c>
      <c r="O121" s="75">
        <f t="shared" si="570"/>
        <v>0.46661259799945926</v>
      </c>
      <c r="P121" s="75">
        <f t="shared" si="570"/>
        <v>0.52173913043478259</v>
      </c>
      <c r="Q121" s="75">
        <f t="shared" si="570"/>
        <v>0.50148300250969657</v>
      </c>
      <c r="R121" s="98">
        <f t="shared" si="570"/>
        <v>0.49523092369477911</v>
      </c>
      <c r="S121" s="75">
        <f t="shared" si="570"/>
        <v>0.43922320786382163</v>
      </c>
      <c r="T121" s="75">
        <f t="shared" si="570"/>
        <v>0.42733750809760318</v>
      </c>
      <c r="U121" s="75">
        <f t="shared" si="570"/>
        <v>0.3996247654784239</v>
      </c>
      <c r="V121" s="75">
        <f t="shared" si="570"/>
        <v>0.36170929002551172</v>
      </c>
      <c r="W121" s="98">
        <f t="shared" si="570"/>
        <v>0.40563449020917153</v>
      </c>
      <c r="X121" s="75">
        <f t="shared" si="570"/>
        <v>0.42632385954970464</v>
      </c>
      <c r="Y121" s="75">
        <f t="shared" si="570"/>
        <v>0.43410627377373223</v>
      </c>
      <c r="Z121" s="75">
        <f t="shared" si="570"/>
        <v>0.40531918987828924</v>
      </c>
      <c r="AA121" s="75">
        <f t="shared" si="570"/>
        <v>0.41742541510508663</v>
      </c>
      <c r="AB121" s="98">
        <f t="shared" si="570"/>
        <v>0.42055667196980612</v>
      </c>
      <c r="AC121" s="75">
        <f t="shared" ref="AC121:AF121" si="571">+AC120/AC108</f>
        <v>0.44182224751992183</v>
      </c>
      <c r="AD121" s="75">
        <f t="shared" si="571"/>
        <v>0.42981789816249888</v>
      </c>
      <c r="AE121" s="75">
        <f t="shared" si="571"/>
        <v>0.42117921333969821</v>
      </c>
      <c r="AF121" s="75">
        <f t="shared" si="571"/>
        <v>0.43330630460467767</v>
      </c>
      <c r="AG121" s="98">
        <f t="shared" si="570"/>
        <v>0.43133645479586913</v>
      </c>
      <c r="AH121" s="75">
        <f t="shared" si="570"/>
        <v>0.44049377441436155</v>
      </c>
      <c r="AI121" s="75">
        <f t="shared" si="570"/>
        <v>0.42569446007477457</v>
      </c>
      <c r="AJ121" s="75">
        <f t="shared" si="570"/>
        <v>0.4271984666679759</v>
      </c>
      <c r="AK121" s="75">
        <f t="shared" si="570"/>
        <v>0.43334562143120758</v>
      </c>
      <c r="AL121" s="98">
        <f t="shared" si="570"/>
        <v>0.43155656899667461</v>
      </c>
      <c r="AM121" s="75">
        <f t="shared" si="570"/>
        <v>0.43633178104363052</v>
      </c>
      <c r="AN121" s="75">
        <f t="shared" si="570"/>
        <v>0.42172961575965501</v>
      </c>
      <c r="AO121" s="75">
        <f t="shared" si="570"/>
        <v>0.42337082563747391</v>
      </c>
      <c r="AP121" s="75">
        <f t="shared" si="570"/>
        <v>0.42953727222594784</v>
      </c>
      <c r="AQ121" s="98">
        <f t="shared" si="570"/>
        <v>0.42762081885301745</v>
      </c>
      <c r="AR121" s="75">
        <f t="shared" si="570"/>
        <v>0.43232986434100434</v>
      </c>
      <c r="AS121" s="75">
        <f t="shared" si="570"/>
        <v>0.41791726545665547</v>
      </c>
      <c r="AT121" s="75">
        <f t="shared" si="570"/>
        <v>0.41969040156968351</v>
      </c>
      <c r="AU121" s="75">
        <f t="shared" si="570"/>
        <v>0.42587539799012136</v>
      </c>
      <c r="AV121" s="98">
        <f t="shared" ref="AV121" si="572">+AV120/AV108</f>
        <v>0.42383644371488588</v>
      </c>
    </row>
    <row r="122" spans="2:48" ht="17.399999999999999" x14ac:dyDescent="0.45">
      <c r="B122" s="432" t="s">
        <v>55</v>
      </c>
      <c r="C122" s="433"/>
      <c r="D122" s="14" t="s">
        <v>19</v>
      </c>
      <c r="E122" s="14" t="s">
        <v>81</v>
      </c>
      <c r="F122" s="14" t="s">
        <v>85</v>
      </c>
      <c r="G122" s="14" t="s">
        <v>95</v>
      </c>
      <c r="H122" s="40" t="s">
        <v>96</v>
      </c>
      <c r="I122" s="14" t="s">
        <v>97</v>
      </c>
      <c r="J122" s="14" t="s">
        <v>98</v>
      </c>
      <c r="K122" s="14" t="s">
        <v>99</v>
      </c>
      <c r="L122" s="14" t="s">
        <v>142</v>
      </c>
      <c r="M122" s="40" t="s">
        <v>143</v>
      </c>
      <c r="N122" s="14" t="s">
        <v>149</v>
      </c>
      <c r="O122" s="14" t="s">
        <v>157</v>
      </c>
      <c r="P122" s="14" t="s">
        <v>159</v>
      </c>
      <c r="Q122" s="14" t="s">
        <v>172</v>
      </c>
      <c r="R122" s="40" t="s">
        <v>173</v>
      </c>
      <c r="S122" s="14" t="s">
        <v>188</v>
      </c>
      <c r="T122" s="14" t="s">
        <v>189</v>
      </c>
      <c r="U122" s="14" t="s">
        <v>204</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164</v>
      </c>
      <c r="AN122" s="12" t="s">
        <v>165</v>
      </c>
      <c r="AO122" s="12" t="s">
        <v>166</v>
      </c>
      <c r="AP122" s="12" t="s">
        <v>167</v>
      </c>
      <c r="AQ122" s="42" t="s">
        <v>168</v>
      </c>
      <c r="AR122" s="12" t="s">
        <v>195</v>
      </c>
      <c r="AS122" s="12" t="s">
        <v>196</v>
      </c>
      <c r="AT122" s="12" t="s">
        <v>197</v>
      </c>
      <c r="AU122" s="12" t="s">
        <v>198</v>
      </c>
      <c r="AV122" s="42" t="s">
        <v>199</v>
      </c>
    </row>
    <row r="123" spans="2:48" s="8" customFormat="1" outlineLevel="1" x14ac:dyDescent="0.3">
      <c r="B123" s="436" t="s">
        <v>127</v>
      </c>
      <c r="C123" s="437"/>
      <c r="D123" s="48">
        <v>11.6</v>
      </c>
      <c r="E123" s="48">
        <v>15.8</v>
      </c>
      <c r="F123" s="48">
        <v>23.3</v>
      </c>
      <c r="G123" s="48">
        <v>15.4</v>
      </c>
      <c r="H123" s="31">
        <f>SUM(D123:G123)</f>
        <v>66.100000000000009</v>
      </c>
      <c r="I123" s="48">
        <v>20.5</v>
      </c>
      <c r="J123" s="48">
        <v>12</v>
      </c>
      <c r="K123" s="48">
        <v>19.7</v>
      </c>
      <c r="L123" s="48">
        <v>13.9</v>
      </c>
      <c r="M123" s="31">
        <f>SUM(I123:L123)</f>
        <v>66.100000000000009</v>
      </c>
      <c r="N123" s="48">
        <v>20.5</v>
      </c>
      <c r="O123" s="48">
        <v>22.6</v>
      </c>
      <c r="P123" s="48">
        <v>23.8</v>
      </c>
      <c r="Q123" s="105">
        <v>30.8</v>
      </c>
      <c r="R123" s="31">
        <f>SUM(N123:Q123)</f>
        <v>97.7</v>
      </c>
      <c r="S123" s="48">
        <v>25.1</v>
      </c>
      <c r="T123" s="48">
        <v>24.4</v>
      </c>
      <c r="U123" s="48">
        <v>27.3</v>
      </c>
      <c r="V123" s="48">
        <f t="shared" ref="V123" si="573">+Q123*(1+V124)</f>
        <v>33.880000000000003</v>
      </c>
      <c r="W123" s="31">
        <f>SUM(S123:V123)</f>
        <v>110.68</v>
      </c>
      <c r="X123" s="48">
        <f>+S123*(1+X124)</f>
        <v>27.610000000000003</v>
      </c>
      <c r="Y123" s="48">
        <f>+T123*(1+Y124)</f>
        <v>26.84</v>
      </c>
      <c r="Z123" s="48">
        <f>+U123*(1+Z124)</f>
        <v>30.030000000000005</v>
      </c>
      <c r="AA123" s="48">
        <f t="shared" ref="AA123" si="574">+V123*(1+AA124)</f>
        <v>37.268000000000008</v>
      </c>
      <c r="AB123" s="31">
        <f>SUM(X123:AA123)</f>
        <v>121.74800000000002</v>
      </c>
      <c r="AC123" s="48">
        <f>+X123*(1+AC124)</f>
        <v>30.371000000000006</v>
      </c>
      <c r="AD123" s="48">
        <f>+Y123*(1+AD124)</f>
        <v>29.524000000000001</v>
      </c>
      <c r="AE123" s="48">
        <f>+Z123*(1+AE124)</f>
        <v>33.033000000000008</v>
      </c>
      <c r="AF123" s="48">
        <f t="shared" ref="AF123" si="575">+AA123*(1+AF124)</f>
        <v>40.994800000000012</v>
      </c>
      <c r="AG123" s="31">
        <f>SUM(AC123:AF123)</f>
        <v>133.92280000000005</v>
      </c>
      <c r="AH123" s="48">
        <f>+AC123*(1+AH124)</f>
        <v>33.408100000000012</v>
      </c>
      <c r="AI123" s="48">
        <f>+AD123*(1+AI124)</f>
        <v>32.476400000000005</v>
      </c>
      <c r="AJ123" s="48">
        <f>+AE123*(1+AJ124)</f>
        <v>36.336300000000016</v>
      </c>
      <c r="AK123" s="48">
        <f t="shared" ref="AK123" si="576">+AF123*(1+AK124)</f>
        <v>45.094280000000019</v>
      </c>
      <c r="AL123" s="31">
        <f>SUM(AH123:AK123)</f>
        <v>147.31508000000005</v>
      </c>
      <c r="AM123" s="48">
        <f>+AH123*(1+AM124)</f>
        <v>36.748910000000016</v>
      </c>
      <c r="AN123" s="48">
        <f>+AI123*(1+AN124)</f>
        <v>35.724040000000009</v>
      </c>
      <c r="AO123" s="48">
        <f>+AJ123*(1+AO124)</f>
        <v>39.969930000000019</v>
      </c>
      <c r="AP123" s="48">
        <f t="shared" ref="AP123" si="577">+AK123*(1+AP124)</f>
        <v>49.603708000000026</v>
      </c>
      <c r="AQ123" s="31">
        <f>SUM(AM123:AP123)</f>
        <v>162.04658800000007</v>
      </c>
      <c r="AR123" s="48">
        <f>+AM123*(1+AR124)</f>
        <v>40.423801000000019</v>
      </c>
      <c r="AS123" s="48">
        <f>+AN123*(1+AS124)</f>
        <v>39.296444000000015</v>
      </c>
      <c r="AT123" s="48">
        <f>+AO123*(1+AT124)</f>
        <v>43.966923000000023</v>
      </c>
      <c r="AU123" s="48">
        <f t="shared" ref="AU123" si="578">+AP123*(1+AU124)</f>
        <v>54.564078800000033</v>
      </c>
      <c r="AV123" s="31">
        <f>SUM(AR123:AU123)</f>
        <v>178.2512468000001</v>
      </c>
    </row>
    <row r="124" spans="2:48" s="8" customFormat="1" outlineLevel="1" x14ac:dyDescent="0.3">
      <c r="B124" s="38" t="s">
        <v>128</v>
      </c>
      <c r="C124" s="201"/>
      <c r="D124" s="30"/>
      <c r="E124" s="30"/>
      <c r="F124" s="30"/>
      <c r="G124" s="118"/>
      <c r="H124" s="130"/>
      <c r="I124" s="118">
        <f t="shared" ref="I124:J124" si="579">I123/D123-1</f>
        <v>0.76724137931034497</v>
      </c>
      <c r="J124" s="118">
        <f t="shared" si="579"/>
        <v>-0.24050632911392411</v>
      </c>
      <c r="K124" s="118">
        <f>K123/F123-1</f>
        <v>-0.15450643776824036</v>
      </c>
      <c r="L124" s="118">
        <f>L123/G123-1</f>
        <v>-9.740259740259738E-2</v>
      </c>
      <c r="M124" s="128">
        <f>M123/H123-1</f>
        <v>0</v>
      </c>
      <c r="N124" s="118">
        <f t="shared" ref="N124" si="580">N123/I123-1</f>
        <v>0</v>
      </c>
      <c r="O124" s="118">
        <f t="shared" ref="O124" si="581">O123/J123-1</f>
        <v>0.88333333333333353</v>
      </c>
      <c r="P124" s="118">
        <f t="shared" ref="P124" si="582">P123/K123-1</f>
        <v>0.20812182741116758</v>
      </c>
      <c r="Q124" s="118">
        <f t="shared" ref="Q124" si="583">Q123/L123-1</f>
        <v>1.2158273381294964</v>
      </c>
      <c r="R124" s="128">
        <f>R123/M123-1</f>
        <v>0.47806354009077134</v>
      </c>
      <c r="S124" s="118">
        <f t="shared" ref="S124" si="584">S123/N123-1</f>
        <v>0.224390243902439</v>
      </c>
      <c r="T124" s="118">
        <f t="shared" ref="T124:U124" si="585">T123/O123-1</f>
        <v>7.9646017699114946E-2</v>
      </c>
      <c r="U124" s="118">
        <f t="shared" si="585"/>
        <v>0.14705882352941169</v>
      </c>
      <c r="V124" s="34">
        <v>0.1</v>
      </c>
      <c r="W124" s="128">
        <f>W123/R123-1</f>
        <v>0.13285568065506648</v>
      </c>
      <c r="X124" s="34">
        <v>0.1</v>
      </c>
      <c r="Y124" s="34">
        <v>0.1</v>
      </c>
      <c r="Z124" s="34">
        <v>0.1</v>
      </c>
      <c r="AA124" s="34">
        <v>0.1</v>
      </c>
      <c r="AB124" s="128">
        <f>AB123/W123-1</f>
        <v>0.10000000000000009</v>
      </c>
      <c r="AC124" s="34">
        <v>0.1</v>
      </c>
      <c r="AD124" s="34">
        <v>0.1</v>
      </c>
      <c r="AE124" s="34">
        <v>0.1</v>
      </c>
      <c r="AF124" s="34">
        <v>0.1</v>
      </c>
      <c r="AG124" s="128">
        <f>AG123/AB123-1</f>
        <v>0.10000000000000031</v>
      </c>
      <c r="AH124" s="34">
        <v>0.1</v>
      </c>
      <c r="AI124" s="34">
        <v>0.1</v>
      </c>
      <c r="AJ124" s="34">
        <v>0.1</v>
      </c>
      <c r="AK124" s="34">
        <v>0.1</v>
      </c>
      <c r="AL124" s="128">
        <f>AL123/AG123-1</f>
        <v>9.9999999999999867E-2</v>
      </c>
      <c r="AM124" s="34">
        <v>0.1</v>
      </c>
      <c r="AN124" s="34">
        <v>0.1</v>
      </c>
      <c r="AO124" s="34">
        <v>0.1</v>
      </c>
      <c r="AP124" s="34">
        <v>0.1</v>
      </c>
      <c r="AQ124" s="128">
        <f>AQ123/AL123-1</f>
        <v>0.10000000000000009</v>
      </c>
      <c r="AR124" s="34">
        <v>0.1</v>
      </c>
      <c r="AS124" s="34">
        <v>0.1</v>
      </c>
      <c r="AT124" s="34">
        <v>0.1</v>
      </c>
      <c r="AU124" s="34">
        <v>0.1</v>
      </c>
      <c r="AV124" s="128">
        <f>AV123/AQ123-1</f>
        <v>0.10000000000000009</v>
      </c>
    </row>
    <row r="125" spans="2:48" outlineLevel="1" x14ac:dyDescent="0.3">
      <c r="B125" s="458" t="s">
        <v>100</v>
      </c>
      <c r="C125" s="459"/>
      <c r="D125" s="48">
        <v>13.4</v>
      </c>
      <c r="E125" s="48">
        <v>15.9</v>
      </c>
      <c r="F125" s="48">
        <v>22.4</v>
      </c>
      <c r="G125" s="105">
        <v>15.5</v>
      </c>
      <c r="H125" s="170"/>
      <c r="I125" s="105">
        <v>20.7</v>
      </c>
      <c r="J125" s="105">
        <v>10.199999999999999</v>
      </c>
      <c r="K125" s="105">
        <v>20.8</v>
      </c>
      <c r="L125" s="105">
        <v>11.6</v>
      </c>
      <c r="M125" s="31">
        <f>SUM(I125:L125)</f>
        <v>63.300000000000004</v>
      </c>
      <c r="N125" s="105">
        <v>19</v>
      </c>
      <c r="O125" s="105">
        <v>19.399999999999999</v>
      </c>
      <c r="P125" s="105">
        <v>19.8</v>
      </c>
      <c r="Q125" s="105">
        <v>28.2</v>
      </c>
      <c r="R125" s="31">
        <f>SUM(N125:Q125)</f>
        <v>86.4</v>
      </c>
      <c r="S125" s="105">
        <v>22.9</v>
      </c>
      <c r="T125" s="105">
        <v>20.8</v>
      </c>
      <c r="U125" s="105">
        <v>24.3</v>
      </c>
      <c r="V125" s="95">
        <v>24.3</v>
      </c>
      <c r="W125" s="31">
        <f>SUM(S125:V125)</f>
        <v>92.3</v>
      </c>
      <c r="X125" s="95">
        <v>24.3</v>
      </c>
      <c r="Y125" s="95">
        <v>24.3</v>
      </c>
      <c r="Z125" s="95">
        <v>24.3</v>
      </c>
      <c r="AA125" s="95">
        <v>24.3</v>
      </c>
      <c r="AB125" s="31">
        <f>SUM(X125:AA125)</f>
        <v>97.2</v>
      </c>
      <c r="AC125" s="95">
        <v>24.3</v>
      </c>
      <c r="AD125" s="95">
        <v>24.3</v>
      </c>
      <c r="AE125" s="95">
        <v>24.3</v>
      </c>
      <c r="AF125" s="95">
        <v>24.3</v>
      </c>
      <c r="AG125" s="31">
        <f>SUM(AC125:AF125)</f>
        <v>97.2</v>
      </c>
      <c r="AH125" s="95">
        <v>24.3</v>
      </c>
      <c r="AI125" s="95">
        <v>24.3</v>
      </c>
      <c r="AJ125" s="95">
        <v>24.3</v>
      </c>
      <c r="AK125" s="95">
        <v>24.3</v>
      </c>
      <c r="AL125" s="31">
        <f>SUM(AH125:AK125)</f>
        <v>97.2</v>
      </c>
      <c r="AM125" s="95">
        <v>24.3</v>
      </c>
      <c r="AN125" s="95">
        <v>24.3</v>
      </c>
      <c r="AO125" s="95">
        <v>24.3</v>
      </c>
      <c r="AP125" s="95">
        <v>24.3</v>
      </c>
      <c r="AQ125" s="31">
        <f>SUM(AM125:AP125)</f>
        <v>97.2</v>
      </c>
      <c r="AR125" s="95">
        <v>24.3</v>
      </c>
      <c r="AS125" s="95">
        <v>24.3</v>
      </c>
      <c r="AT125" s="95">
        <v>24.3</v>
      </c>
      <c r="AU125" s="95">
        <v>24.3</v>
      </c>
      <c r="AV125" s="31">
        <f>SUM(AR125:AU125)</f>
        <v>97.2</v>
      </c>
    </row>
    <row r="126" spans="2:48" outlineLevel="1" x14ac:dyDescent="0.3">
      <c r="B126" s="180" t="s">
        <v>33</v>
      </c>
      <c r="C126" s="18"/>
      <c r="D126" s="48">
        <v>3.2</v>
      </c>
      <c r="E126" s="48">
        <v>4.3</v>
      </c>
      <c r="F126" s="48">
        <v>5.8</v>
      </c>
      <c r="G126" s="105">
        <f>5.2+0.1</f>
        <v>5.3</v>
      </c>
      <c r="H126" s="170"/>
      <c r="I126" s="105">
        <v>2.8</v>
      </c>
      <c r="J126" s="105">
        <v>3.7</v>
      </c>
      <c r="K126" s="105">
        <v>4</v>
      </c>
      <c r="L126" s="105">
        <v>3.4</v>
      </c>
      <c r="M126" s="31">
        <f t="shared" ref="M126:M129" si="586">SUM(I126:L126)</f>
        <v>13.9</v>
      </c>
      <c r="N126" s="105">
        <v>3.6</v>
      </c>
      <c r="O126" s="105">
        <v>3.4</v>
      </c>
      <c r="P126" s="105">
        <v>3.3</v>
      </c>
      <c r="Q126" s="105">
        <v>4.5</v>
      </c>
      <c r="R126" s="31">
        <f t="shared" ref="R126:R129" si="587">SUM(N126:Q126)</f>
        <v>14.8</v>
      </c>
      <c r="S126" s="105">
        <v>2.9</v>
      </c>
      <c r="T126" s="105">
        <v>4.4000000000000004</v>
      </c>
      <c r="U126" s="105">
        <v>5.9</v>
      </c>
      <c r="V126" s="95">
        <v>5.9</v>
      </c>
      <c r="W126" s="31">
        <f t="shared" ref="W126:W129" si="588">SUM(S126:V126)</f>
        <v>19.100000000000001</v>
      </c>
      <c r="X126" s="95">
        <v>5.9</v>
      </c>
      <c r="Y126" s="95">
        <v>5.9</v>
      </c>
      <c r="Z126" s="95">
        <v>5.9</v>
      </c>
      <c r="AA126" s="95">
        <v>5.9</v>
      </c>
      <c r="AB126" s="31">
        <f t="shared" ref="AB126:AB129" si="589">SUM(X126:AA126)</f>
        <v>23.6</v>
      </c>
      <c r="AC126" s="95">
        <v>5.9</v>
      </c>
      <c r="AD126" s="95">
        <v>5.9</v>
      </c>
      <c r="AE126" s="95">
        <v>5.9</v>
      </c>
      <c r="AF126" s="95">
        <v>5.9</v>
      </c>
      <c r="AG126" s="31">
        <f t="shared" ref="AG126:AG129" si="590">SUM(AC126:AF126)</f>
        <v>23.6</v>
      </c>
      <c r="AH126" s="95">
        <v>5.9</v>
      </c>
      <c r="AI126" s="95">
        <v>5.9</v>
      </c>
      <c r="AJ126" s="95">
        <v>5.9</v>
      </c>
      <c r="AK126" s="95">
        <v>5.9</v>
      </c>
      <c r="AL126" s="31">
        <f t="shared" ref="AL126:AL129" si="591">SUM(AH126:AK126)</f>
        <v>23.6</v>
      </c>
      <c r="AM126" s="95">
        <v>5.9</v>
      </c>
      <c r="AN126" s="95">
        <v>5.9</v>
      </c>
      <c r="AO126" s="95">
        <v>5.9</v>
      </c>
      <c r="AP126" s="95">
        <v>5.9</v>
      </c>
      <c r="AQ126" s="31">
        <f t="shared" ref="AQ126:AQ129" si="592">SUM(AM126:AP126)</f>
        <v>23.6</v>
      </c>
      <c r="AR126" s="95">
        <v>5.9</v>
      </c>
      <c r="AS126" s="95">
        <v>5.9</v>
      </c>
      <c r="AT126" s="95">
        <v>5.9</v>
      </c>
      <c r="AU126" s="95">
        <v>5.9</v>
      </c>
      <c r="AV126" s="31">
        <f t="shared" ref="AV126:AV129" si="593">SUM(AR126:AU126)</f>
        <v>23.6</v>
      </c>
    </row>
    <row r="127" spans="2:48" outlineLevel="1" x14ac:dyDescent="0.3">
      <c r="B127" s="180" t="s">
        <v>34</v>
      </c>
      <c r="C127" s="18"/>
      <c r="D127" s="358">
        <v>39.5</v>
      </c>
      <c r="E127" s="358">
        <v>40.5</v>
      </c>
      <c r="F127" s="358">
        <v>39.6</v>
      </c>
      <c r="G127" s="358">
        <v>37.299999999999997</v>
      </c>
      <c r="H127" s="130"/>
      <c r="I127" s="358">
        <v>34.9</v>
      </c>
      <c r="J127" s="358">
        <v>34.5</v>
      </c>
      <c r="K127" s="358">
        <v>40.9</v>
      </c>
      <c r="L127" s="358">
        <v>39.5</v>
      </c>
      <c r="M127" s="126">
        <f t="shared" si="586"/>
        <v>149.80000000000001</v>
      </c>
      <c r="N127" s="358">
        <v>37</v>
      </c>
      <c r="O127" s="358">
        <v>37</v>
      </c>
      <c r="P127" s="358">
        <v>35.5</v>
      </c>
      <c r="Q127" s="358">
        <v>32.9</v>
      </c>
      <c r="R127" s="126">
        <f t="shared" si="587"/>
        <v>142.4</v>
      </c>
      <c r="S127" s="358">
        <v>32.9</v>
      </c>
      <c r="T127" s="358">
        <v>32.299999999999997</v>
      </c>
      <c r="U127" s="358">
        <v>30.6</v>
      </c>
      <c r="V127" s="358">
        <f>(U127/(U66+U99+U114+U127))*'Cash Flow Statement'!V7*0.95</f>
        <v>31.661062128730872</v>
      </c>
      <c r="W127" s="126">
        <f t="shared" si="588"/>
        <v>127.46106212873086</v>
      </c>
      <c r="X127" s="358">
        <f>(V127/(V66+V99+V114+V127))*'Cash Flow Statement'!X7*0.95</f>
        <v>32.186783408474412</v>
      </c>
      <c r="Y127" s="358">
        <f>(X127/(X66+X99+X114+X127))*'Cash Flow Statement'!Y7*0.95</f>
        <v>33.565224590422503</v>
      </c>
      <c r="Z127" s="358">
        <f>(Y127/(Y66+Y99+Y114+Y127))*'Cash Flow Statement'!Z7*0.95</f>
        <v>34.715693285330147</v>
      </c>
      <c r="AA127" s="358">
        <f>(Z127/(Z66+Z99+Z114+Z127))*'Cash Flow Statement'!AA7*0.95</f>
        <v>36.102986641354832</v>
      </c>
      <c r="AB127" s="126">
        <f t="shared" si="589"/>
        <v>136.57068792558189</v>
      </c>
      <c r="AC127" s="358">
        <f>(AA127/(AA66+AA99+AA114+AA127))*'Cash Flow Statement'!AC7*0.95</f>
        <v>37.50785230642898</v>
      </c>
      <c r="AD127" s="358">
        <f>(AC127/(AC66+AC99+AC114+AC127))*'Cash Flow Statement'!AD7*0.95</f>
        <v>38.596652247308711</v>
      </c>
      <c r="AE127" s="358">
        <f>(AD127/(AD66+AD99+AD114+AD127))*'Cash Flow Statement'!AE7*0.95</f>
        <v>39.42921759879561</v>
      </c>
      <c r="AF127" s="358">
        <f>(AE127/(AE66+AE99+AE114+AE127))*'Cash Flow Statement'!AF7*0.95</f>
        <v>40.519644776125062</v>
      </c>
      <c r="AG127" s="126">
        <f t="shared" si="590"/>
        <v>156.05336692865836</v>
      </c>
      <c r="AH127" s="358">
        <f>(AF127/(AF66+AF99+AF114+AF127))*'Cash Flow Statement'!AH7*0.95</f>
        <v>41.636935532824552</v>
      </c>
      <c r="AI127" s="358">
        <f>(AH127/(AH66+AH99+AH114+AH127))*'Cash Flow Statement'!AI7*0.95</f>
        <v>42.471293252780285</v>
      </c>
      <c r="AJ127" s="358">
        <f>(AI127/(AI66+AI99+AI114+AI127))*'Cash Flow Statement'!AJ7*0.95</f>
        <v>43.068407001738159</v>
      </c>
      <c r="AK127" s="358">
        <f>(AJ127/(AJ66+AJ99+AJ114+AJ127))*'Cash Flow Statement'!AK7*0.95</f>
        <v>43.937402824599232</v>
      </c>
      <c r="AL127" s="126">
        <f t="shared" si="591"/>
        <v>171.11403861194225</v>
      </c>
      <c r="AM127" s="358">
        <f>(AK127/(AK66+AK99+AK114+AK127))*'Cash Flow Statement'!AM7*0.95</f>
        <v>44.851302655789205</v>
      </c>
      <c r="AN127" s="358">
        <f>(AM127/(AM66+AM99+AM114+AM127))*'Cash Flow Statement'!AN7*0.95</f>
        <v>45.827083974647138</v>
      </c>
      <c r="AO127" s="358">
        <f>(AN127/(AN66+AN99+AN114+AN127))*'Cash Flow Statement'!AO7*0.95</f>
        <v>46.521455736833836</v>
      </c>
      <c r="AP127" s="358">
        <f>(AO127/(AO66+AO99+AO114+AO127))*'Cash Flow Statement'!AP7*0.95</f>
        <v>47.496199869089949</v>
      </c>
      <c r="AQ127" s="126">
        <f t="shared" si="592"/>
        <v>184.69604223636014</v>
      </c>
      <c r="AR127" s="358">
        <f>(AP127/(AP66+AP99+AP114+AP127))*'Cash Flow Statement'!AR7*0.95</f>
        <v>48.506227541561138</v>
      </c>
      <c r="AS127" s="358">
        <f>(AR127/(AR66+AR99+AR114+AR127))*'Cash Flow Statement'!AS7*0.95</f>
        <v>49.500770246648941</v>
      </c>
      <c r="AT127" s="358">
        <f>(AS127/(AS66+AS99+AS114+AS127))*'Cash Flow Statement'!AT7*0.95</f>
        <v>50.195673613080416</v>
      </c>
      <c r="AU127" s="358">
        <f>(AT127/(AT66+AT99+AT114+AT127))*'Cash Flow Statement'!AU7*0.95</f>
        <v>51.190634355971085</v>
      </c>
      <c r="AV127" s="126">
        <f t="shared" si="593"/>
        <v>199.3933057572616</v>
      </c>
    </row>
    <row r="128" spans="2:48" outlineLevel="1" x14ac:dyDescent="0.3">
      <c r="B128" s="180" t="s">
        <v>35</v>
      </c>
      <c r="C128" s="18"/>
      <c r="D128" s="48">
        <v>300.39999999999998</v>
      </c>
      <c r="E128" s="48">
        <v>303.89999999999998</v>
      </c>
      <c r="F128" s="48">
        <v>299</v>
      </c>
      <c r="G128" s="105">
        <v>267.39999999999998</v>
      </c>
      <c r="H128" s="170"/>
      <c r="I128" s="105">
        <v>292.2</v>
      </c>
      <c r="J128" s="105">
        <v>271.60000000000002</v>
      </c>
      <c r="K128" s="105">
        <v>269.10000000000002</v>
      </c>
      <c r="L128" s="105">
        <v>288.8</v>
      </c>
      <c r="M128" s="31">
        <f t="shared" si="586"/>
        <v>1121.7</v>
      </c>
      <c r="N128" s="105">
        <v>316.5</v>
      </c>
      <c r="O128" s="105">
        <v>304.60000000000002</v>
      </c>
      <c r="P128" s="105">
        <v>326.5</v>
      </c>
      <c r="Q128" s="105">
        <v>321</v>
      </c>
      <c r="R128" s="31">
        <f t="shared" si="587"/>
        <v>1268.5999999999999</v>
      </c>
      <c r="S128" s="105">
        <v>354.5</v>
      </c>
      <c r="T128" s="105">
        <v>328.1</v>
      </c>
      <c r="U128" s="105">
        <v>326.10000000000002</v>
      </c>
      <c r="V128" s="95">
        <v>332.42500000000001</v>
      </c>
      <c r="W128" s="31">
        <f t="shared" si="588"/>
        <v>1341.125</v>
      </c>
      <c r="X128" s="95">
        <v>332.42500000000001</v>
      </c>
      <c r="Y128" s="95">
        <v>332.42500000000001</v>
      </c>
      <c r="Z128" s="95">
        <v>332.42500000000001</v>
      </c>
      <c r="AA128" s="95">
        <v>332.42500000000001</v>
      </c>
      <c r="AB128" s="31">
        <f t="shared" si="589"/>
        <v>1329.7</v>
      </c>
      <c r="AC128" s="95">
        <v>332.42500000000001</v>
      </c>
      <c r="AD128" s="95">
        <v>332.42500000000001</v>
      </c>
      <c r="AE128" s="95">
        <v>332.42500000000001</v>
      </c>
      <c r="AF128" s="95">
        <v>332.42500000000001</v>
      </c>
      <c r="AG128" s="31">
        <f t="shared" si="590"/>
        <v>1329.7</v>
      </c>
      <c r="AH128" s="95">
        <v>332.42500000000001</v>
      </c>
      <c r="AI128" s="95">
        <v>332.42500000000001</v>
      </c>
      <c r="AJ128" s="95">
        <v>332.42500000000001</v>
      </c>
      <c r="AK128" s="95">
        <v>332.42500000000001</v>
      </c>
      <c r="AL128" s="31">
        <f t="shared" si="591"/>
        <v>1329.7</v>
      </c>
      <c r="AM128" s="95">
        <v>332.42500000000001</v>
      </c>
      <c r="AN128" s="95">
        <v>332.42500000000001</v>
      </c>
      <c r="AO128" s="95">
        <v>332.42500000000001</v>
      </c>
      <c r="AP128" s="95">
        <v>332.42500000000001</v>
      </c>
      <c r="AQ128" s="31">
        <f t="shared" si="592"/>
        <v>1329.7</v>
      </c>
      <c r="AR128" s="95">
        <v>332.42500000000001</v>
      </c>
      <c r="AS128" s="95">
        <v>332.42500000000001</v>
      </c>
      <c r="AT128" s="95">
        <v>332.42500000000001</v>
      </c>
      <c r="AU128" s="95">
        <v>332.42500000000001</v>
      </c>
      <c r="AV128" s="31">
        <f t="shared" si="593"/>
        <v>1329.7</v>
      </c>
    </row>
    <row r="129" spans="2:48" ht="16.2" outlineLevel="1" x14ac:dyDescent="0.45">
      <c r="B129" s="180" t="s">
        <v>42</v>
      </c>
      <c r="C129" s="18"/>
      <c r="D129" s="119">
        <v>13.9</v>
      </c>
      <c r="E129" s="119">
        <v>0.6</v>
      </c>
      <c r="F129" s="119">
        <v>6</v>
      </c>
      <c r="G129" s="119">
        <v>-0.9</v>
      </c>
      <c r="H129" s="131"/>
      <c r="I129" s="119">
        <v>0.3</v>
      </c>
      <c r="J129" s="119">
        <v>0</v>
      </c>
      <c r="K129" s="119">
        <v>22.1</v>
      </c>
      <c r="L129" s="119">
        <v>0</v>
      </c>
      <c r="M129" s="193">
        <f t="shared" si="586"/>
        <v>22.400000000000002</v>
      </c>
      <c r="N129" s="119">
        <v>0</v>
      </c>
      <c r="O129" s="119">
        <v>0</v>
      </c>
      <c r="P129" s="119">
        <v>0</v>
      </c>
      <c r="Q129" s="119">
        <v>15</v>
      </c>
      <c r="R129" s="193">
        <f t="shared" si="587"/>
        <v>15</v>
      </c>
      <c r="S129" s="119">
        <v>0</v>
      </c>
      <c r="T129" s="119">
        <v>0</v>
      </c>
      <c r="U129" s="119">
        <v>2</v>
      </c>
      <c r="V129" s="119">
        <f>IFERROR((V163*(U129/U163)),0)</f>
        <v>7.1428571428571423</v>
      </c>
      <c r="W129" s="193">
        <f t="shared" si="588"/>
        <v>9.1428571428571423</v>
      </c>
      <c r="X129" s="119">
        <f>IFERROR((X163*(V129/V163)),0)</f>
        <v>7.1428571428571423</v>
      </c>
      <c r="Y129" s="119">
        <f t="shared" ref="Y129:AA129" si="594">IFERROR((Y163*(X129/X163)),0)</f>
        <v>0</v>
      </c>
      <c r="Z129" s="119">
        <f t="shared" si="594"/>
        <v>0</v>
      </c>
      <c r="AA129" s="119">
        <f t="shared" si="594"/>
        <v>0</v>
      </c>
      <c r="AB129" s="193">
        <f t="shared" si="589"/>
        <v>7.1428571428571423</v>
      </c>
      <c r="AC129" s="119">
        <f>IFERROR((AC163*(AA129/AA163)),0)</f>
        <v>0</v>
      </c>
      <c r="AD129" s="119">
        <f t="shared" ref="AD129:AF129" si="595">IFERROR((AD163*(AC129/AC163)),0)</f>
        <v>0</v>
      </c>
      <c r="AE129" s="119">
        <f t="shared" si="595"/>
        <v>0</v>
      </c>
      <c r="AF129" s="119">
        <f t="shared" si="595"/>
        <v>0</v>
      </c>
      <c r="AG129" s="193">
        <f t="shared" si="590"/>
        <v>0</v>
      </c>
      <c r="AH129" s="119">
        <f>IFERROR((AH163*(AF129/AF163)),0)</f>
        <v>0</v>
      </c>
      <c r="AI129" s="119">
        <f t="shared" ref="AI129:AK129" si="596">IFERROR((AI163*(AH129/AH163)),0)</f>
        <v>0</v>
      </c>
      <c r="AJ129" s="119">
        <f t="shared" si="596"/>
        <v>0</v>
      </c>
      <c r="AK129" s="119">
        <f t="shared" si="596"/>
        <v>0</v>
      </c>
      <c r="AL129" s="193">
        <f t="shared" si="591"/>
        <v>0</v>
      </c>
      <c r="AM129" s="119">
        <f>IFERROR((AM163*(AK129/AK163)),0)</f>
        <v>0</v>
      </c>
      <c r="AN129" s="119">
        <f t="shared" ref="AN129:AP129" si="597">IFERROR((AN163*(AM129/AM163)),0)</f>
        <v>0</v>
      </c>
      <c r="AO129" s="119">
        <f t="shared" si="597"/>
        <v>0</v>
      </c>
      <c r="AP129" s="119">
        <f t="shared" si="597"/>
        <v>0</v>
      </c>
      <c r="AQ129" s="193">
        <f t="shared" si="592"/>
        <v>0</v>
      </c>
      <c r="AR129" s="119">
        <f>IFERROR((AR163*(AP129/AP163)),0)</f>
        <v>0</v>
      </c>
      <c r="AS129" s="119">
        <f t="shared" ref="AS129:AU129" si="598">IFERROR((AS163*(AR129/AR163)),0)</f>
        <v>0</v>
      </c>
      <c r="AT129" s="119">
        <f t="shared" si="598"/>
        <v>0</v>
      </c>
      <c r="AU129" s="119">
        <f t="shared" si="598"/>
        <v>0</v>
      </c>
      <c r="AV129" s="193">
        <f t="shared" si="593"/>
        <v>0</v>
      </c>
    </row>
    <row r="130" spans="2:48" outlineLevel="1" x14ac:dyDescent="0.3">
      <c r="B130" s="46" t="s">
        <v>56</v>
      </c>
      <c r="C130" s="19"/>
      <c r="D130" s="103">
        <f>SUM(D125:D129)</f>
        <v>370.4</v>
      </c>
      <c r="E130" s="103">
        <f>SUM(E125:E129)</f>
        <v>365.2</v>
      </c>
      <c r="F130" s="103">
        <f>SUM(F125:F129)</f>
        <v>372.8</v>
      </c>
      <c r="G130" s="103">
        <f>SUM(G125:G129)</f>
        <v>324.60000000000002</v>
      </c>
      <c r="H130" s="130"/>
      <c r="I130" s="103">
        <f t="shared" ref="I130:AQ130" si="599">SUM(I125:I129)</f>
        <v>350.9</v>
      </c>
      <c r="J130" s="103">
        <f t="shared" si="599"/>
        <v>320</v>
      </c>
      <c r="K130" s="103">
        <f t="shared" si="599"/>
        <v>356.90000000000003</v>
      </c>
      <c r="L130" s="50">
        <f t="shared" si="599"/>
        <v>343.3</v>
      </c>
      <c r="M130" s="51">
        <f t="shared" si="599"/>
        <v>1371.1000000000001</v>
      </c>
      <c r="N130" s="50">
        <f t="shared" si="599"/>
        <v>376.1</v>
      </c>
      <c r="O130" s="50">
        <f t="shared" si="599"/>
        <v>364.40000000000003</v>
      </c>
      <c r="P130" s="50">
        <f t="shared" si="599"/>
        <v>385.1</v>
      </c>
      <c r="Q130" s="50">
        <f t="shared" si="599"/>
        <v>401.6</v>
      </c>
      <c r="R130" s="51">
        <f t="shared" si="599"/>
        <v>1527.1999999999998</v>
      </c>
      <c r="S130" s="50">
        <f t="shared" si="599"/>
        <v>413.2</v>
      </c>
      <c r="T130" s="50">
        <f t="shared" si="599"/>
        <v>385.6</v>
      </c>
      <c r="U130" s="50">
        <f t="shared" si="599"/>
        <v>388.90000000000003</v>
      </c>
      <c r="V130" s="50">
        <f t="shared" si="599"/>
        <v>401.42891927158809</v>
      </c>
      <c r="W130" s="51">
        <f t="shared" si="599"/>
        <v>1589.1289192715878</v>
      </c>
      <c r="X130" s="50">
        <f t="shared" si="599"/>
        <v>401.95464055133158</v>
      </c>
      <c r="Y130" s="50">
        <f t="shared" si="599"/>
        <v>396.19022459042253</v>
      </c>
      <c r="Z130" s="50">
        <f t="shared" si="599"/>
        <v>397.34069328533019</v>
      </c>
      <c r="AA130" s="50">
        <f t="shared" si="599"/>
        <v>398.72798664135485</v>
      </c>
      <c r="AB130" s="51">
        <f t="shared" si="599"/>
        <v>1594.2135450684391</v>
      </c>
      <c r="AC130" s="50">
        <f t="shared" si="599"/>
        <v>400.13285230642896</v>
      </c>
      <c r="AD130" s="50">
        <f t="shared" si="599"/>
        <v>401.22165224730873</v>
      </c>
      <c r="AE130" s="50">
        <f t="shared" si="599"/>
        <v>402.05421759879562</v>
      </c>
      <c r="AF130" s="50">
        <f t="shared" si="599"/>
        <v>403.14464477612506</v>
      </c>
      <c r="AG130" s="51">
        <f t="shared" si="599"/>
        <v>1606.5533669286583</v>
      </c>
      <c r="AH130" s="50">
        <f t="shared" si="599"/>
        <v>404.26193553282457</v>
      </c>
      <c r="AI130" s="50">
        <f t="shared" si="599"/>
        <v>405.0962932527803</v>
      </c>
      <c r="AJ130" s="50">
        <f t="shared" si="599"/>
        <v>405.69340700173814</v>
      </c>
      <c r="AK130" s="50">
        <f t="shared" si="599"/>
        <v>406.56240282459925</v>
      </c>
      <c r="AL130" s="51">
        <f t="shared" si="599"/>
        <v>1621.6140386119423</v>
      </c>
      <c r="AM130" s="50">
        <f t="shared" si="599"/>
        <v>407.47630265578925</v>
      </c>
      <c r="AN130" s="50">
        <f t="shared" si="599"/>
        <v>408.45208397464717</v>
      </c>
      <c r="AO130" s="50">
        <f t="shared" si="599"/>
        <v>409.14645573683384</v>
      </c>
      <c r="AP130" s="50">
        <f t="shared" si="599"/>
        <v>410.12119986908999</v>
      </c>
      <c r="AQ130" s="51">
        <f t="shared" si="599"/>
        <v>1635.1960422363602</v>
      </c>
      <c r="AR130" s="50">
        <f t="shared" ref="AR130:AV130" si="600">SUM(AR125:AR129)</f>
        <v>411.13122754156115</v>
      </c>
      <c r="AS130" s="50">
        <f t="shared" si="600"/>
        <v>412.12577024664893</v>
      </c>
      <c r="AT130" s="50">
        <f t="shared" si="600"/>
        <v>412.82067361308043</v>
      </c>
      <c r="AU130" s="50">
        <f t="shared" si="600"/>
        <v>413.8156343559711</v>
      </c>
      <c r="AV130" s="51">
        <f t="shared" si="600"/>
        <v>1649.8933057572617</v>
      </c>
    </row>
    <row r="131" spans="2:48" outlineLevel="1" x14ac:dyDescent="0.3">
      <c r="B131" s="46" t="s">
        <v>57</v>
      </c>
      <c r="C131" s="44"/>
      <c r="D131" s="156">
        <f>D123-D130</f>
        <v>-358.79999999999995</v>
      </c>
      <c r="E131" s="156">
        <f>E123-E130</f>
        <v>-349.4</v>
      </c>
      <c r="F131" s="156">
        <f>F123-F130</f>
        <v>-349.5</v>
      </c>
      <c r="G131" s="156">
        <f>G123-G130</f>
        <v>-309.20000000000005</v>
      </c>
      <c r="H131" s="158"/>
      <c r="I131" s="156">
        <f t="shared" ref="I131:AQ131" si="601">I123-I130</f>
        <v>-330.4</v>
      </c>
      <c r="J131" s="156">
        <f t="shared" si="601"/>
        <v>-308</v>
      </c>
      <c r="K131" s="156">
        <f t="shared" si="601"/>
        <v>-337.20000000000005</v>
      </c>
      <c r="L131" s="74">
        <f t="shared" si="601"/>
        <v>-329.40000000000003</v>
      </c>
      <c r="M131" s="194">
        <f t="shared" si="601"/>
        <v>-1305.0000000000002</v>
      </c>
      <c r="N131" s="74">
        <f t="shared" si="601"/>
        <v>-355.6</v>
      </c>
      <c r="O131" s="74">
        <f t="shared" si="601"/>
        <v>-341.8</v>
      </c>
      <c r="P131" s="74">
        <f t="shared" si="601"/>
        <v>-361.3</v>
      </c>
      <c r="Q131" s="74">
        <f t="shared" si="601"/>
        <v>-370.8</v>
      </c>
      <c r="R131" s="194">
        <f t="shared" si="601"/>
        <v>-1429.4999999999998</v>
      </c>
      <c r="S131" s="74">
        <f t="shared" si="601"/>
        <v>-388.09999999999997</v>
      </c>
      <c r="T131" s="74">
        <f t="shared" si="601"/>
        <v>-361.20000000000005</v>
      </c>
      <c r="U131" s="74">
        <f t="shared" si="601"/>
        <v>-361.6</v>
      </c>
      <c r="V131" s="74">
        <f t="shared" si="601"/>
        <v>-367.54891927158809</v>
      </c>
      <c r="W131" s="194">
        <f t="shared" si="601"/>
        <v>-1478.4489192715878</v>
      </c>
      <c r="X131" s="74">
        <f t="shared" si="601"/>
        <v>-374.34464055133157</v>
      </c>
      <c r="Y131" s="74">
        <f t="shared" si="601"/>
        <v>-369.35022459042256</v>
      </c>
      <c r="Z131" s="74">
        <f t="shared" si="601"/>
        <v>-367.31069328533016</v>
      </c>
      <c r="AA131" s="74">
        <f t="shared" si="601"/>
        <v>-361.45998664135482</v>
      </c>
      <c r="AB131" s="194">
        <f t="shared" si="601"/>
        <v>-1472.465545068439</v>
      </c>
      <c r="AC131" s="74">
        <f t="shared" si="601"/>
        <v>-369.76185230642898</v>
      </c>
      <c r="AD131" s="74">
        <f t="shared" si="601"/>
        <v>-371.69765224730872</v>
      </c>
      <c r="AE131" s="74">
        <f t="shared" si="601"/>
        <v>-369.0212175987956</v>
      </c>
      <c r="AF131" s="74">
        <f t="shared" si="601"/>
        <v>-362.14984477612506</v>
      </c>
      <c r="AG131" s="194">
        <f t="shared" si="601"/>
        <v>-1472.6305669286583</v>
      </c>
      <c r="AH131" s="74">
        <f t="shared" si="601"/>
        <v>-370.85383553282458</v>
      </c>
      <c r="AI131" s="74">
        <f t="shared" si="601"/>
        <v>-372.61989325278029</v>
      </c>
      <c r="AJ131" s="74">
        <f t="shared" si="601"/>
        <v>-369.35710700173814</v>
      </c>
      <c r="AK131" s="74">
        <f t="shared" si="601"/>
        <v>-361.46812282459922</v>
      </c>
      <c r="AL131" s="194">
        <f t="shared" si="601"/>
        <v>-1474.2989586119422</v>
      </c>
      <c r="AM131" s="74">
        <f t="shared" si="601"/>
        <v>-370.72739265578923</v>
      </c>
      <c r="AN131" s="74">
        <f t="shared" si="601"/>
        <v>-372.72804397464716</v>
      </c>
      <c r="AO131" s="74">
        <f t="shared" si="601"/>
        <v>-369.17652573683381</v>
      </c>
      <c r="AP131" s="74">
        <f t="shared" si="601"/>
        <v>-360.51749186908995</v>
      </c>
      <c r="AQ131" s="194">
        <f t="shared" si="601"/>
        <v>-1473.14945423636</v>
      </c>
      <c r="AR131" s="74">
        <f t="shared" ref="AR131:AV131" si="602">AR123-AR130</f>
        <v>-370.70742654156112</v>
      </c>
      <c r="AS131" s="74">
        <f t="shared" si="602"/>
        <v>-372.82932624664892</v>
      </c>
      <c r="AT131" s="74">
        <f t="shared" si="602"/>
        <v>-368.85375061308042</v>
      </c>
      <c r="AU131" s="74">
        <f t="shared" si="602"/>
        <v>-359.25155555597109</v>
      </c>
      <c r="AV131" s="194">
        <f t="shared" si="602"/>
        <v>-1471.6420589572617</v>
      </c>
    </row>
    <row r="132" spans="2:48" ht="17.399999999999999" x14ac:dyDescent="0.45">
      <c r="B132" s="432" t="s">
        <v>14</v>
      </c>
      <c r="C132" s="433"/>
      <c r="D132" s="14" t="s">
        <v>19</v>
      </c>
      <c r="E132" s="14" t="s">
        <v>81</v>
      </c>
      <c r="F132" s="14" t="s">
        <v>85</v>
      </c>
      <c r="G132" s="14" t="s">
        <v>95</v>
      </c>
      <c r="H132" s="40" t="s">
        <v>96</v>
      </c>
      <c r="I132" s="14" t="s">
        <v>97</v>
      </c>
      <c r="J132" s="14" t="s">
        <v>98</v>
      </c>
      <c r="K132" s="14" t="s">
        <v>99</v>
      </c>
      <c r="L132" s="14" t="s">
        <v>142</v>
      </c>
      <c r="M132" s="40" t="s">
        <v>143</v>
      </c>
      <c r="N132" s="14" t="s">
        <v>149</v>
      </c>
      <c r="O132" s="14" t="s">
        <v>157</v>
      </c>
      <c r="P132" s="14" t="s">
        <v>159</v>
      </c>
      <c r="Q132" s="14" t="s">
        <v>172</v>
      </c>
      <c r="R132" s="40" t="s">
        <v>173</v>
      </c>
      <c r="S132" s="14" t="s">
        <v>188</v>
      </c>
      <c r="T132" s="14" t="s">
        <v>189</v>
      </c>
      <c r="U132" s="14" t="s">
        <v>204</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164</v>
      </c>
      <c r="AN132" s="12" t="s">
        <v>165</v>
      </c>
      <c r="AO132" s="12" t="s">
        <v>166</v>
      </c>
      <c r="AP132" s="12" t="s">
        <v>167</v>
      </c>
      <c r="AQ132" s="42" t="s">
        <v>168</v>
      </c>
      <c r="AR132" s="12" t="s">
        <v>195</v>
      </c>
      <c r="AS132" s="12" t="s">
        <v>196</v>
      </c>
      <c r="AT132" s="12" t="s">
        <v>197</v>
      </c>
      <c r="AU132" s="12" t="s">
        <v>198</v>
      </c>
      <c r="AV132" s="42" t="s">
        <v>199</v>
      </c>
    </row>
    <row r="133" spans="2:48" s="77" customFormat="1" ht="15.6" customHeight="1" outlineLevel="1" x14ac:dyDescent="0.3">
      <c r="B133" s="64" t="s">
        <v>59</v>
      </c>
      <c r="C133" s="78"/>
      <c r="D133" s="65">
        <f>+D45+D78-D5</f>
        <v>0</v>
      </c>
      <c r="E133" s="65">
        <f>+E45+E78-E5</f>
        <v>0</v>
      </c>
      <c r="F133" s="121">
        <f>+F45+F78-F5</f>
        <v>0</v>
      </c>
      <c r="G133" s="65">
        <f>+G45+G78-G5</f>
        <v>0</v>
      </c>
      <c r="H133" s="66"/>
      <c r="I133" s="65">
        <f>+I45+I78-I5</f>
        <v>0</v>
      </c>
      <c r="J133" s="65">
        <f>+J45+J78-J5</f>
        <v>0</v>
      </c>
      <c r="K133" s="121">
        <f>+K45+K78-K5</f>
        <v>0</v>
      </c>
      <c r="L133" s="65">
        <f>+L45+L78-L5</f>
        <v>0</v>
      </c>
      <c r="M133" s="66"/>
      <c r="N133" s="65">
        <f>+N45+N78-N5</f>
        <v>0</v>
      </c>
      <c r="O133" s="65">
        <f>+O45+O78-O5</f>
        <v>0</v>
      </c>
      <c r="P133" s="121">
        <f>+P45+P78-P5</f>
        <v>0</v>
      </c>
      <c r="Q133" s="65">
        <f>+Q45+Q78-Q5</f>
        <v>0</v>
      </c>
      <c r="R133" s="66"/>
      <c r="S133" s="65">
        <f>+S45+S78-S5</f>
        <v>0</v>
      </c>
      <c r="T133" s="65">
        <f>+T45+T78-T5</f>
        <v>0</v>
      </c>
      <c r="U133" s="121">
        <f>+U45+U78-U5</f>
        <v>0</v>
      </c>
      <c r="V133" s="65">
        <f>+V45+V78-V5</f>
        <v>0</v>
      </c>
      <c r="W133" s="66"/>
      <c r="X133" s="65">
        <f>+X45+X78-X5</f>
        <v>0</v>
      </c>
      <c r="Y133" s="65">
        <f>+Y45+Y78-Y5</f>
        <v>0</v>
      </c>
      <c r="Z133" s="121">
        <f>+Z45+Z78-Z5</f>
        <v>0</v>
      </c>
      <c r="AA133" s="65">
        <f>+AA45+AA78-AA5</f>
        <v>0</v>
      </c>
      <c r="AB133" s="66"/>
      <c r="AC133" s="65">
        <f>+AC45+AC78-AC5</f>
        <v>0</v>
      </c>
      <c r="AD133" s="65">
        <f>+AD45+AD78-AD5</f>
        <v>0</v>
      </c>
      <c r="AE133" s="121">
        <f>+AE45+AE78-AE5</f>
        <v>0</v>
      </c>
      <c r="AF133" s="65">
        <f>+AF45+AF78-AF5</f>
        <v>0</v>
      </c>
      <c r="AG133" s="66"/>
      <c r="AH133" s="65">
        <f>+AH45+AH78-AH5</f>
        <v>0</v>
      </c>
      <c r="AI133" s="65">
        <f>+AI45+AI78-AI5</f>
        <v>0</v>
      </c>
      <c r="AJ133" s="121">
        <f>+AJ45+AJ78-AJ5</f>
        <v>0</v>
      </c>
      <c r="AK133" s="65">
        <f>+AK45+AK78-AK5</f>
        <v>0</v>
      </c>
      <c r="AL133" s="66"/>
      <c r="AM133" s="65">
        <f>+AM45+AM78-AM5</f>
        <v>0</v>
      </c>
      <c r="AN133" s="65">
        <f>+AN45+AN78-AN5</f>
        <v>0</v>
      </c>
      <c r="AO133" s="121">
        <f>+AO45+AO78-AO5</f>
        <v>0</v>
      </c>
      <c r="AP133" s="65">
        <f>+AP45+AP78-AP5</f>
        <v>0</v>
      </c>
      <c r="AQ133" s="66"/>
      <c r="AR133" s="65">
        <f>+AR45+AR78-AR5</f>
        <v>0</v>
      </c>
      <c r="AS133" s="65">
        <f>+AS45+AS78-AS5</f>
        <v>0</v>
      </c>
      <c r="AT133" s="121">
        <f>+AT45+AT78-AT5</f>
        <v>0</v>
      </c>
      <c r="AU133" s="65">
        <f>+AU45+AU78-AU5</f>
        <v>0</v>
      </c>
      <c r="AV133" s="66"/>
    </row>
    <row r="134" spans="2:48" s="77" customFormat="1" ht="15.6" customHeight="1" outlineLevel="1" x14ac:dyDescent="0.3">
      <c r="B134" s="64" t="s">
        <v>60</v>
      </c>
      <c r="C134" s="78"/>
      <c r="D134" s="65">
        <f>+D54+D87-D6</f>
        <v>0</v>
      </c>
      <c r="E134" s="65">
        <f>+E54+E87-E6</f>
        <v>0</v>
      </c>
      <c r="F134" s="121">
        <f>+F54+F87-F6</f>
        <v>0</v>
      </c>
      <c r="G134" s="65">
        <f>+G54+G87-G6</f>
        <v>0</v>
      </c>
      <c r="H134" s="66"/>
      <c r="I134" s="65">
        <f>+I54+I87-I6</f>
        <v>0</v>
      </c>
      <c r="J134" s="65">
        <f>+J54+J87-J6</f>
        <v>0</v>
      </c>
      <c r="K134" s="121">
        <f>+K54+K87-K6</f>
        <v>0</v>
      </c>
      <c r="L134" s="65">
        <f>+L54+L87-L6</f>
        <v>0</v>
      </c>
      <c r="M134" s="66"/>
      <c r="N134" s="65">
        <f>+N54+N87-N6</f>
        <v>0</v>
      </c>
      <c r="O134" s="65">
        <f>+O54+O87-O6</f>
        <v>0</v>
      </c>
      <c r="P134" s="121">
        <f>+P54+P87-P6</f>
        <v>0</v>
      </c>
      <c r="Q134" s="65">
        <f>+Q54+Q87-Q6</f>
        <v>0</v>
      </c>
      <c r="R134" s="66"/>
      <c r="S134" s="65">
        <f>+S54+S87-S6</f>
        <v>0</v>
      </c>
      <c r="T134" s="65">
        <f>+T54+T87-T6</f>
        <v>0</v>
      </c>
      <c r="U134" s="121">
        <f>+U54+U87-U6</f>
        <v>0</v>
      </c>
      <c r="V134" s="65">
        <f>+V54+V87-V6</f>
        <v>0</v>
      </c>
      <c r="W134" s="66"/>
      <c r="X134" s="65">
        <f>+X54+X87-X6</f>
        <v>0</v>
      </c>
      <c r="Y134" s="65">
        <f>+Y54+Y87-Y6</f>
        <v>0</v>
      </c>
      <c r="Z134" s="121">
        <f>+Z54+Z87-Z6</f>
        <v>0</v>
      </c>
      <c r="AA134" s="65">
        <f>+AA54+AA87-AA6</f>
        <v>0</v>
      </c>
      <c r="AB134" s="66"/>
      <c r="AC134" s="65">
        <f>+AC54+AC87-AC6</f>
        <v>0</v>
      </c>
      <c r="AD134" s="65">
        <f>+AD54+AD87-AD6</f>
        <v>0</v>
      </c>
      <c r="AE134" s="121">
        <f>+AE54+AE87-AE6</f>
        <v>0</v>
      </c>
      <c r="AF134" s="65">
        <f>+AF54+AF87-AF6</f>
        <v>0</v>
      </c>
      <c r="AG134" s="66"/>
      <c r="AH134" s="65">
        <f>+AH54+AH87-AH6</f>
        <v>0</v>
      </c>
      <c r="AI134" s="65">
        <f>+AI54+AI87-AI6</f>
        <v>0</v>
      </c>
      <c r="AJ134" s="121">
        <f>+AJ54+AJ87-AJ6</f>
        <v>0</v>
      </c>
      <c r="AK134" s="65">
        <f>+AK54+AK87-AK6</f>
        <v>0</v>
      </c>
      <c r="AL134" s="66"/>
      <c r="AM134" s="65">
        <f>+AM54+AM87-AM6</f>
        <v>0</v>
      </c>
      <c r="AN134" s="65">
        <f>+AN54+AN87-AN6</f>
        <v>0</v>
      </c>
      <c r="AO134" s="121">
        <f>+AO54+AO87-AO6</f>
        <v>0</v>
      </c>
      <c r="AP134" s="65">
        <f>+AP54+AP87-AP6</f>
        <v>0</v>
      </c>
      <c r="AQ134" s="66"/>
      <c r="AR134" s="65">
        <f>+AR54+AR87-AR6</f>
        <v>0</v>
      </c>
      <c r="AS134" s="65">
        <f>+AS54+AS87-AS6</f>
        <v>0</v>
      </c>
      <c r="AT134" s="121">
        <f>+AT54+AT87-AT6</f>
        <v>0</v>
      </c>
      <c r="AU134" s="65">
        <f>+AU54+AU87-AU6</f>
        <v>0</v>
      </c>
      <c r="AV134" s="66"/>
    </row>
    <row r="135" spans="2:48" s="77" customFormat="1" ht="15.6" customHeight="1" outlineLevel="1" x14ac:dyDescent="0.3">
      <c r="B135" s="64" t="s">
        <v>61</v>
      </c>
      <c r="C135" s="78"/>
      <c r="D135" s="65">
        <f>+D55+D88+D108+D123-D7</f>
        <v>0</v>
      </c>
      <c r="E135" s="65">
        <f>+E55+E88+E108+E123-E7</f>
        <v>0</v>
      </c>
      <c r="F135" s="121">
        <f>+F55+F88+F108+F123-F7</f>
        <v>0</v>
      </c>
      <c r="G135" s="65">
        <f>+G55+G88+G108+G123-G7</f>
        <v>0</v>
      </c>
      <c r="H135" s="66"/>
      <c r="I135" s="65">
        <f>+I55+I88+I108+I123-I7</f>
        <v>0</v>
      </c>
      <c r="J135" s="65">
        <f>+J55+J88+J108+J123-J7</f>
        <v>0</v>
      </c>
      <c r="K135" s="121">
        <f>+K55+K88+K108+K123-K7</f>
        <v>0</v>
      </c>
      <c r="L135" s="65">
        <f>+L55+L88+L108+L123-L7</f>
        <v>0</v>
      </c>
      <c r="M135" s="66"/>
      <c r="N135" s="65">
        <f>+N55+N88+N108+N123-N7</f>
        <v>0</v>
      </c>
      <c r="O135" s="65">
        <f>+O55+O88+O108+O123-O7</f>
        <v>0</v>
      </c>
      <c r="P135" s="121">
        <f>+P55+P88+P108+P123-P7</f>
        <v>0</v>
      </c>
      <c r="Q135" s="65">
        <f>+Q55+Q88+Q108+Q123-Q7</f>
        <v>0</v>
      </c>
      <c r="R135" s="66"/>
      <c r="S135" s="65">
        <f>+S55+S88+S108+S123-S7</f>
        <v>0</v>
      </c>
      <c r="T135" s="65">
        <f>+T55+T88+T108+T123-T7</f>
        <v>0</v>
      </c>
      <c r="U135" s="121">
        <f>+U55+U88+U108+U123-U7</f>
        <v>0</v>
      </c>
      <c r="V135" s="65">
        <f>+V55+V88+V108+V123-V7</f>
        <v>0</v>
      </c>
      <c r="W135" s="66"/>
      <c r="X135" s="65">
        <f>+X55+X88+X108+X123-X7</f>
        <v>0</v>
      </c>
      <c r="Y135" s="65">
        <f>+Y55+Y88+Y108+Y123-Y7</f>
        <v>0</v>
      </c>
      <c r="Z135" s="121">
        <f>+Z55+Z88+Z108+Z123-Z7</f>
        <v>0</v>
      </c>
      <c r="AA135" s="65">
        <f>+AA55+AA88+AA108+AA123-AA7</f>
        <v>0</v>
      </c>
      <c r="AB135" s="66"/>
      <c r="AC135" s="65">
        <f>+AC55+AC88+AC108+AC123-AC7</f>
        <v>0</v>
      </c>
      <c r="AD135" s="65">
        <f>+AD55+AD88+AD108+AD123-AD7</f>
        <v>0</v>
      </c>
      <c r="AE135" s="121">
        <f>+AE55+AE88+AE108+AE123-AE7</f>
        <v>0</v>
      </c>
      <c r="AF135" s="65">
        <f>+AF55+AF88+AF108+AF123-AF7</f>
        <v>0</v>
      </c>
      <c r="AG135" s="66"/>
      <c r="AH135" s="65">
        <f>+AH55+AH88+AH108+AH123-AH7</f>
        <v>0</v>
      </c>
      <c r="AI135" s="65">
        <f>+AI55+AI88+AI108+AI123-AI7</f>
        <v>0</v>
      </c>
      <c r="AJ135" s="121">
        <f>+AJ55+AJ88+AJ108+AJ123-AJ7</f>
        <v>0</v>
      </c>
      <c r="AK135" s="65">
        <f>+AK55+AK88+AK108+AK123-AK7</f>
        <v>0</v>
      </c>
      <c r="AL135" s="66"/>
      <c r="AM135" s="65">
        <f>+AM55+AM88+AM108+AM123-AM7</f>
        <v>0</v>
      </c>
      <c r="AN135" s="65">
        <f>+AN55+AN88+AN108+AN123-AN7</f>
        <v>0</v>
      </c>
      <c r="AO135" s="121">
        <f>+AO55+AO88+AO108+AO123-AO7</f>
        <v>0</v>
      </c>
      <c r="AP135" s="65">
        <f>+AP55+AP88+AP108+AP123-AP7</f>
        <v>0</v>
      </c>
      <c r="AQ135" s="66"/>
      <c r="AR135" s="65">
        <f>+AR55+AR88+AR108+AR123-AR7</f>
        <v>0</v>
      </c>
      <c r="AS135" s="65">
        <f>+AS55+AS88+AS108+AS123-AS7</f>
        <v>0</v>
      </c>
      <c r="AT135" s="121">
        <f>+AT55+AT88+AT108+AT123-AT7</f>
        <v>0</v>
      </c>
      <c r="AU135" s="65">
        <f>+AU55+AU88+AU108+AU123-AU7</f>
        <v>0</v>
      </c>
      <c r="AV135" s="66"/>
    </row>
    <row r="136" spans="2:48" s="77" customFormat="1" ht="15.6" customHeight="1" outlineLevel="1" x14ac:dyDescent="0.3">
      <c r="B136" s="64" t="s">
        <v>36</v>
      </c>
      <c r="C136" s="78"/>
      <c r="D136" s="65">
        <f>+D119+D104-D16</f>
        <v>0</v>
      </c>
      <c r="E136" s="65">
        <f>+E119+E104-E16</f>
        <v>0</v>
      </c>
      <c r="F136" s="121">
        <f>+F119+F104-F16</f>
        <v>0</v>
      </c>
      <c r="G136" s="65">
        <f>+G119+G104-G16</f>
        <v>0</v>
      </c>
      <c r="H136" s="66"/>
      <c r="I136" s="65">
        <f>+I119+I104-I16</f>
        <v>0</v>
      </c>
      <c r="J136" s="65">
        <f>+J119+J104-J16</f>
        <v>0</v>
      </c>
      <c r="K136" s="121">
        <f>+K119+K104-K16</f>
        <v>0</v>
      </c>
      <c r="L136" s="65">
        <f>+L119+L104-L16</f>
        <v>0</v>
      </c>
      <c r="M136" s="66"/>
      <c r="N136" s="65">
        <f>+N119+N104-N16</f>
        <v>0</v>
      </c>
      <c r="O136" s="65">
        <f>+O119+O104-O16</f>
        <v>0</v>
      </c>
      <c r="P136" s="121">
        <f>+P119+P104-P16</f>
        <v>0</v>
      </c>
      <c r="Q136" s="65">
        <f>+Q119+Q104-Q16</f>
        <v>0</v>
      </c>
      <c r="R136" s="66"/>
      <c r="S136" s="65">
        <f>+S119+S104-S16</f>
        <v>0</v>
      </c>
      <c r="T136" s="65">
        <f>+T119+T104-T16</f>
        <v>0</v>
      </c>
      <c r="U136" s="121">
        <f>+U119+U104-U16</f>
        <v>0</v>
      </c>
      <c r="V136" s="65">
        <f>+V119+V104-V16</f>
        <v>0</v>
      </c>
      <c r="W136" s="66"/>
      <c r="X136" s="65">
        <f>+X119+X104-X16</f>
        <v>0</v>
      </c>
      <c r="Y136" s="65">
        <f>+Y119+Y104-Y16</f>
        <v>0</v>
      </c>
      <c r="Z136" s="121">
        <f>+Z119+Z104-Z16</f>
        <v>0</v>
      </c>
      <c r="AA136" s="65">
        <f>+AA119+AA104-AA16</f>
        <v>0</v>
      </c>
      <c r="AB136" s="66"/>
      <c r="AC136" s="65">
        <f>+AC119+AC104-AC16</f>
        <v>0</v>
      </c>
      <c r="AD136" s="65">
        <f>+AD119+AD104-AD16</f>
        <v>0</v>
      </c>
      <c r="AE136" s="121">
        <f>+AE119+AE104-AE16</f>
        <v>0</v>
      </c>
      <c r="AF136" s="65">
        <f>+AF119+AF104-AF16</f>
        <v>0</v>
      </c>
      <c r="AG136" s="66"/>
      <c r="AH136" s="65">
        <f>+AH119+AH104-AH16</f>
        <v>0</v>
      </c>
      <c r="AI136" s="65">
        <f>+AI119+AI104-AI16</f>
        <v>0</v>
      </c>
      <c r="AJ136" s="121">
        <f>+AJ119+AJ104-AJ16</f>
        <v>0</v>
      </c>
      <c r="AK136" s="65">
        <f>+AK119+AK104-AK16</f>
        <v>0</v>
      </c>
      <c r="AL136" s="66"/>
      <c r="AM136" s="65">
        <f>+AM119+AM104-AM16</f>
        <v>0</v>
      </c>
      <c r="AN136" s="65">
        <f>+AN119+AN104-AN16</f>
        <v>0</v>
      </c>
      <c r="AO136" s="121">
        <f>+AO119+AO104-AO16</f>
        <v>0</v>
      </c>
      <c r="AP136" s="65">
        <f>+AP119+AP104-AP16</f>
        <v>0</v>
      </c>
      <c r="AQ136" s="66"/>
      <c r="AR136" s="65">
        <f>+AR119+AR104-AR16</f>
        <v>0</v>
      </c>
      <c r="AS136" s="65">
        <f>+AS119+AS104-AS16</f>
        <v>0</v>
      </c>
      <c r="AT136" s="121">
        <f>+AT119+AT104-AT16</f>
        <v>0</v>
      </c>
      <c r="AU136" s="65">
        <f>+AU119+AU104-AU16</f>
        <v>0</v>
      </c>
      <c r="AV136" s="66"/>
    </row>
    <row r="137" spans="2:48" s="77" customFormat="1" ht="15.6" customHeight="1" outlineLevel="1" x14ac:dyDescent="0.3">
      <c r="B137" s="64" t="s">
        <v>62</v>
      </c>
      <c r="C137" s="78"/>
      <c r="D137" s="65">
        <f>+D71+D105+D120+D131-D17</f>
        <v>0</v>
      </c>
      <c r="E137" s="65">
        <f>+E71+E105+E120+E131-E17</f>
        <v>0</v>
      </c>
      <c r="F137" s="121">
        <f>+F71+F105+F120+F131-F17</f>
        <v>0</v>
      </c>
      <c r="G137" s="65">
        <f>+G71+G105+G120+G131-G17</f>
        <v>9.9999999998544808E-2</v>
      </c>
      <c r="H137" s="66"/>
      <c r="I137" s="65">
        <f>+I71+I105+I120+I131-I17</f>
        <v>0</v>
      </c>
      <c r="J137" s="65">
        <f>+J71+J105+J120+J131-J17</f>
        <v>6.8212102632969618E-13</v>
      </c>
      <c r="K137" s="121">
        <f>+K71+K105+K120+K131-K17</f>
        <v>0</v>
      </c>
      <c r="L137" s="65">
        <f>+L71+L105+L120+L131-L17</f>
        <v>-2.0999999999996817</v>
      </c>
      <c r="M137" s="66"/>
      <c r="N137" s="65">
        <f>+N71+N105+N120+N131-N17</f>
        <v>0</v>
      </c>
      <c r="O137" s="65">
        <f>+O71+O105+O120+O131-O17</f>
        <v>0</v>
      </c>
      <c r="P137" s="121">
        <f>+P71+P105+P120+P131-P17</f>
        <v>0</v>
      </c>
      <c r="Q137" s="65">
        <f>+Q71+Q105+Q120+Q131-Q17</f>
        <v>0</v>
      </c>
      <c r="R137" s="66"/>
      <c r="S137" s="65">
        <f>+S71+S105+S120+S131-S17</f>
        <v>0</v>
      </c>
      <c r="T137" s="65">
        <f>+T71+T105+T120+T131-T17</f>
        <v>0</v>
      </c>
      <c r="U137" s="121">
        <f>+U71+U105+U120+U131-U17</f>
        <v>0</v>
      </c>
      <c r="V137" s="65">
        <f>+V71+V105+V120+V131-V17</f>
        <v>0</v>
      </c>
      <c r="W137" s="66"/>
      <c r="X137" s="65">
        <f>+X71+X105+X120+X131-X17</f>
        <v>0</v>
      </c>
      <c r="Y137" s="65">
        <f>+Y71+Y105+Y120+Y131-Y17</f>
        <v>0</v>
      </c>
      <c r="Z137" s="121">
        <f>+Z71+Z105+Z120+Z131-Z17</f>
        <v>-1.8189894035458565E-12</v>
      </c>
      <c r="AA137" s="65">
        <f>+AA71+AA105+AA120+AA131-AA17</f>
        <v>0</v>
      </c>
      <c r="AB137" s="66"/>
      <c r="AC137" s="65">
        <f>+AC71+AC105+AC120+AC131-AC17</f>
        <v>2.0463630789890885E-12</v>
      </c>
      <c r="AD137" s="65">
        <f>+AD71+AD105+AD120+AD131-AD17</f>
        <v>0</v>
      </c>
      <c r="AE137" s="121">
        <f>+AE71+AE105+AE120+AE131-AE17</f>
        <v>0</v>
      </c>
      <c r="AF137" s="65">
        <f>+AF71+AF105+AF120+AF131-AF17</f>
        <v>0</v>
      </c>
      <c r="AG137" s="66"/>
      <c r="AH137" s="65">
        <f>+AH71+AH105+AH120+AH131-AH17</f>
        <v>0</v>
      </c>
      <c r="AI137" s="65">
        <f>+AI71+AI105+AI120+AI131-AI17</f>
        <v>0</v>
      </c>
      <c r="AJ137" s="121">
        <f>+AJ71+AJ105+AJ120+AJ131-AJ17</f>
        <v>0</v>
      </c>
      <c r="AK137" s="65">
        <f>+AK71+AK105+AK120+AK131-AK17</f>
        <v>0</v>
      </c>
      <c r="AL137" s="66"/>
      <c r="AM137" s="65">
        <f>+AM71+AM105+AM120+AM131-AM17</f>
        <v>2.9558577807620168E-12</v>
      </c>
      <c r="AN137" s="65">
        <f>+AN71+AN105+AN120+AN131-AN17</f>
        <v>0</v>
      </c>
      <c r="AO137" s="121">
        <f>+AO71+AO105+AO120+AO131-AO17</f>
        <v>0</v>
      </c>
      <c r="AP137" s="65">
        <f>+AP71+AP105+AP120+AP131-AP17</f>
        <v>2.9558577807620168E-12</v>
      </c>
      <c r="AQ137" s="66"/>
      <c r="AR137" s="65">
        <f>+AR71+AR105+AR120+AR131-AR17</f>
        <v>0</v>
      </c>
      <c r="AS137" s="65">
        <f>+AS71+AS105+AS120+AS131-AS17</f>
        <v>0</v>
      </c>
      <c r="AT137" s="121">
        <f>+AT71+AT105+AT120+AT131-AT17</f>
        <v>0</v>
      </c>
      <c r="AU137" s="65">
        <f>+AU71+AU105+AU120+AU131-AU17</f>
        <v>0</v>
      </c>
      <c r="AV137" s="66"/>
    </row>
    <row r="138" spans="2:48" ht="15" customHeight="1" x14ac:dyDescent="0.45">
      <c r="B138" s="432" t="s">
        <v>9</v>
      </c>
      <c r="C138" s="433"/>
      <c r="D138" s="14" t="s">
        <v>19</v>
      </c>
      <c r="E138" s="14" t="s">
        <v>81</v>
      </c>
      <c r="F138" s="14" t="s">
        <v>85</v>
      </c>
      <c r="G138" s="14" t="s">
        <v>95</v>
      </c>
      <c r="H138" s="40" t="s">
        <v>96</v>
      </c>
      <c r="I138" s="14" t="s">
        <v>97</v>
      </c>
      <c r="J138" s="14" t="s">
        <v>98</v>
      </c>
      <c r="K138" s="14" t="s">
        <v>99</v>
      </c>
      <c r="L138" s="14" t="s">
        <v>142</v>
      </c>
      <c r="M138" s="40" t="s">
        <v>143</v>
      </c>
      <c r="N138" s="14" t="s">
        <v>149</v>
      </c>
      <c r="O138" s="14" t="s">
        <v>157</v>
      </c>
      <c r="P138" s="14" t="s">
        <v>159</v>
      </c>
      <c r="Q138" s="14" t="s">
        <v>172</v>
      </c>
      <c r="R138" s="40" t="s">
        <v>173</v>
      </c>
      <c r="S138" s="14" t="s">
        <v>188</v>
      </c>
      <c r="T138" s="14" t="s">
        <v>189</v>
      </c>
      <c r="U138" s="14" t="s">
        <v>204</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164</v>
      </c>
      <c r="AN138" s="12" t="s">
        <v>165</v>
      </c>
      <c r="AO138" s="12" t="s">
        <v>166</v>
      </c>
      <c r="AP138" s="12" t="s">
        <v>167</v>
      </c>
      <c r="AQ138" s="42" t="s">
        <v>168</v>
      </c>
      <c r="AR138" s="12" t="s">
        <v>195</v>
      </c>
      <c r="AS138" s="12" t="s">
        <v>196</v>
      </c>
      <c r="AT138" s="12" t="s">
        <v>197</v>
      </c>
      <c r="AU138" s="12" t="s">
        <v>198</v>
      </c>
      <c r="AV138" s="42" t="s">
        <v>199</v>
      </c>
    </row>
    <row r="139" spans="2:48" s="23" customFormat="1" outlineLevel="1" x14ac:dyDescent="0.3">
      <c r="B139" s="200" t="s">
        <v>169</v>
      </c>
      <c r="C139" s="201"/>
      <c r="D139" s="27"/>
      <c r="E139" s="27"/>
      <c r="F139" s="27"/>
      <c r="G139" s="27"/>
      <c r="H139" s="29"/>
      <c r="I139" s="27"/>
      <c r="J139" s="27"/>
      <c r="K139" s="27"/>
      <c r="L139" s="113"/>
      <c r="M139" s="137"/>
      <c r="N139" s="113"/>
      <c r="O139" s="113"/>
      <c r="P139" s="113"/>
      <c r="Q139" s="113"/>
      <c r="R139" s="29"/>
      <c r="S139" s="113"/>
      <c r="T139" s="113"/>
      <c r="U139" s="113"/>
      <c r="V139" s="113"/>
      <c r="W139" s="137"/>
      <c r="X139" s="113"/>
      <c r="Y139" s="113"/>
      <c r="Z139" s="113"/>
      <c r="AA139" s="113"/>
      <c r="AB139" s="137">
        <f>(AB91+AB58)/(W83+W74+W50+W41)</f>
        <v>6.9998872350022556E-2</v>
      </c>
      <c r="AC139" s="113"/>
      <c r="AD139" s="113"/>
      <c r="AE139" s="113"/>
      <c r="AF139" s="113"/>
      <c r="AG139" s="137">
        <f>(AG91+AG58)/(AB83+AB74+AB50+AB41)</f>
        <v>7.0003952048478466E-2</v>
      </c>
      <c r="AH139" s="113"/>
      <c r="AI139" s="113"/>
      <c r="AJ139" s="113"/>
      <c r="AK139" s="113"/>
      <c r="AL139" s="406">
        <f>(AL91+AL58)/(AG83+AG74+AG50+AG41)</f>
        <v>7.0003939722249581E-2</v>
      </c>
      <c r="AM139" s="113"/>
      <c r="AN139" s="113"/>
      <c r="AO139" s="113"/>
      <c r="AP139" s="113"/>
      <c r="AQ139" s="137">
        <f>(AQ91+AQ58)/(AL83+AL74+AL50+AL41)</f>
        <v>2.9271660338280981E-2</v>
      </c>
      <c r="AR139" s="113"/>
      <c r="AS139" s="113"/>
      <c r="AT139" s="113"/>
      <c r="AU139" s="113"/>
      <c r="AV139" s="137">
        <f>(AV91+AV58)/(AQ83+AQ74+AQ50+AQ41)</f>
        <v>2.8439197799986587E-2</v>
      </c>
    </row>
    <row r="140" spans="2:48" s="23" customFormat="1" outlineLevel="1" x14ac:dyDescent="0.3">
      <c r="B140" s="436" t="s">
        <v>17</v>
      </c>
      <c r="C140" s="437"/>
      <c r="D140" s="30"/>
      <c r="E140" s="30"/>
      <c r="F140" s="30"/>
      <c r="G140" s="30"/>
      <c r="H140" s="137"/>
      <c r="I140" s="30">
        <f t="shared" ref="I140:AV140" si="603">I8/D8-1</f>
        <v>7.0016735266180907E-2</v>
      </c>
      <c r="J140" s="30">
        <f t="shared" si="603"/>
        <v>-4.9192026514851106E-2</v>
      </c>
      <c r="K140" s="30">
        <f t="shared" si="603"/>
        <v>-0.38119595485856661</v>
      </c>
      <c r="L140" s="113">
        <f t="shared" si="603"/>
        <v>-8.061360604713208E-2</v>
      </c>
      <c r="M140" s="128">
        <f t="shared" si="603"/>
        <v>-0.11281621813298315</v>
      </c>
      <c r="N140" s="30">
        <f t="shared" si="603"/>
        <v>-4.8991841738174613E-2</v>
      </c>
      <c r="O140" s="30">
        <f t="shared" si="603"/>
        <v>0.11213036009139876</v>
      </c>
      <c r="P140" s="30">
        <f t="shared" si="603"/>
        <v>0.77553823926482068</v>
      </c>
      <c r="Q140" s="30">
        <f t="shared" si="603"/>
        <v>0.31332720736405983</v>
      </c>
      <c r="R140" s="128">
        <f t="shared" si="603"/>
        <v>0.23567480227910509</v>
      </c>
      <c r="S140" s="30">
        <f t="shared" si="603"/>
        <v>0.19275787477405393</v>
      </c>
      <c r="T140" s="30">
        <f t="shared" si="603"/>
        <v>0.14511097780443905</v>
      </c>
      <c r="U140" s="30">
        <f t="shared" si="603"/>
        <v>8.7187354098579473E-2</v>
      </c>
      <c r="V140" s="30">
        <f t="shared" si="603"/>
        <v>1.7311112342031532E-2</v>
      </c>
      <c r="W140" s="28">
        <f t="shared" si="603"/>
        <v>0.10540829986018285</v>
      </c>
      <c r="X140" s="30">
        <f t="shared" si="603"/>
        <v>7.6754201778171938E-2</v>
      </c>
      <c r="Y140" s="30">
        <f t="shared" si="603"/>
        <v>9.9189810156881997E-2</v>
      </c>
      <c r="Z140" s="30">
        <f t="shared" si="603"/>
        <v>0.12769268581558646</v>
      </c>
      <c r="AA140" s="30">
        <f t="shared" si="603"/>
        <v>0.13409328144002286</v>
      </c>
      <c r="AB140" s="137">
        <f t="shared" si="603"/>
        <v>0.10980361845288167</v>
      </c>
      <c r="AC140" s="30">
        <f t="shared" si="603"/>
        <v>0.1232033628528193</v>
      </c>
      <c r="AD140" s="30">
        <f t="shared" si="603"/>
        <v>9.6779586167275777E-2</v>
      </c>
      <c r="AE140" s="30">
        <f t="shared" si="603"/>
        <v>9.7725809081055992E-2</v>
      </c>
      <c r="AF140" s="30">
        <f t="shared" si="603"/>
        <v>0.10107467513140889</v>
      </c>
      <c r="AG140" s="137">
        <f t="shared" si="603"/>
        <v>0.10458061605690805</v>
      </c>
      <c r="AH140" s="30">
        <f t="shared" si="603"/>
        <v>0.11523267400076009</v>
      </c>
      <c r="AI140" s="30">
        <f t="shared" si="603"/>
        <v>0.1143824870888952</v>
      </c>
      <c r="AJ140" s="30">
        <f t="shared" si="603"/>
        <v>0.11509230734132658</v>
      </c>
      <c r="AK140" s="30">
        <f t="shared" si="603"/>
        <v>0.11745003229436946</v>
      </c>
      <c r="AL140" s="406">
        <f t="shared" si="603"/>
        <v>0.11558070350478378</v>
      </c>
      <c r="AM140" s="30">
        <f t="shared" si="603"/>
        <v>0.10010830769738077</v>
      </c>
      <c r="AN140" s="30">
        <f t="shared" si="603"/>
        <v>9.4535712744858724E-2</v>
      </c>
      <c r="AO140" s="30">
        <f t="shared" si="603"/>
        <v>9.0539328856082291E-2</v>
      </c>
      <c r="AP140" s="30">
        <f t="shared" si="603"/>
        <v>8.7270188651159986E-2</v>
      </c>
      <c r="AQ140" s="28">
        <f t="shared" si="603"/>
        <v>9.2977040108612963E-2</v>
      </c>
      <c r="AR140" s="30">
        <f t="shared" si="603"/>
        <v>6.504221511172692E-2</v>
      </c>
      <c r="AS140" s="30">
        <f t="shared" si="603"/>
        <v>6.4273236399094102E-2</v>
      </c>
      <c r="AT140" s="30">
        <f t="shared" si="603"/>
        <v>6.4051834273006314E-2</v>
      </c>
      <c r="AU140" s="30">
        <f t="shared" si="603"/>
        <v>6.4350905639830147E-2</v>
      </c>
      <c r="AV140" s="28">
        <f t="shared" si="603"/>
        <v>6.4428308255169764E-2</v>
      </c>
    </row>
    <row r="141" spans="2:48" s="23" customFormat="1" outlineLevel="1" x14ac:dyDescent="0.3">
      <c r="B141" s="436" t="s">
        <v>4</v>
      </c>
      <c r="C141" s="437"/>
      <c r="D141" s="27">
        <f t="shared" ref="D141:AV141" si="604">D17/D8</f>
        <v>0.15313522396610738</v>
      </c>
      <c r="E141" s="27">
        <f t="shared" si="604"/>
        <v>0.13601547756862614</v>
      </c>
      <c r="F141" s="27">
        <f t="shared" si="604"/>
        <v>0.16434119888612064</v>
      </c>
      <c r="G141" s="27">
        <f t="shared" si="604"/>
        <v>0.16054542759745088</v>
      </c>
      <c r="H141" s="29">
        <f t="shared" si="604"/>
        <v>0.15383309567461143</v>
      </c>
      <c r="I141" s="27">
        <f t="shared" si="604"/>
        <v>0.1718730185568752</v>
      </c>
      <c r="J141" s="27">
        <f t="shared" si="604"/>
        <v>8.1291592307820446E-2</v>
      </c>
      <c r="K141" s="27">
        <f t="shared" si="604"/>
        <v>-0.16671798394164022</v>
      </c>
      <c r="L141" s="113">
        <f t="shared" si="604"/>
        <v>9.0003385404072211E-2</v>
      </c>
      <c r="M141" s="137">
        <f t="shared" si="604"/>
        <v>6.6400204098988183E-2</v>
      </c>
      <c r="N141" s="27">
        <f t="shared" si="604"/>
        <v>0.13534536403235845</v>
      </c>
      <c r="O141" s="27">
        <f t="shared" si="604"/>
        <v>0.14811037792441512</v>
      </c>
      <c r="P141" s="27">
        <f t="shared" si="604"/>
        <v>0.19858600680317468</v>
      </c>
      <c r="Q141" s="27">
        <f t="shared" si="604"/>
        <v>0.18193869910515911</v>
      </c>
      <c r="R141" s="137">
        <f t="shared" si="604"/>
        <v>0.16764966999993108</v>
      </c>
      <c r="S141" s="27">
        <f t="shared" si="604"/>
        <v>0.14630328927755143</v>
      </c>
      <c r="T141" s="27">
        <f t="shared" si="604"/>
        <v>0.12427314159987431</v>
      </c>
      <c r="U141" s="27">
        <f t="shared" si="604"/>
        <v>0.15895510484533926</v>
      </c>
      <c r="V141" s="27">
        <f t="shared" si="604"/>
        <v>0.13355692927238058</v>
      </c>
      <c r="W141" s="137">
        <f t="shared" si="604"/>
        <v>0.14098828754353226</v>
      </c>
      <c r="X141" s="27">
        <f t="shared" si="604"/>
        <v>0.13347713167777689</v>
      </c>
      <c r="Y141" s="27">
        <f t="shared" si="604"/>
        <v>0.13194556206335736</v>
      </c>
      <c r="Z141" s="27">
        <f t="shared" si="604"/>
        <v>0.15421637128277246</v>
      </c>
      <c r="AA141" s="27">
        <f t="shared" si="604"/>
        <v>0.16270303962190427</v>
      </c>
      <c r="AB141" s="137">
        <f t="shared" si="604"/>
        <v>0.14616822415377001</v>
      </c>
      <c r="AC141" s="27">
        <f t="shared" si="604"/>
        <v>0.16046384030410779</v>
      </c>
      <c r="AD141" s="27">
        <f t="shared" si="604"/>
        <v>0.14098318044584443</v>
      </c>
      <c r="AE141" s="27">
        <f t="shared" si="604"/>
        <v>0.15863330030149353</v>
      </c>
      <c r="AF141" s="27">
        <f t="shared" si="604"/>
        <v>0.15296267175965017</v>
      </c>
      <c r="AG141" s="137">
        <f t="shared" si="604"/>
        <v>0.15346979150745824</v>
      </c>
      <c r="AH141" s="27">
        <f t="shared" si="604"/>
        <v>0.16765881222138554</v>
      </c>
      <c r="AI141" s="27">
        <f t="shared" si="604"/>
        <v>0.14900308003670257</v>
      </c>
      <c r="AJ141" s="27">
        <f t="shared" si="604"/>
        <v>0.17256969523975174</v>
      </c>
      <c r="AK141" s="27">
        <f t="shared" si="604"/>
        <v>0.16116962845255084</v>
      </c>
      <c r="AL141" s="29">
        <f t="shared" si="604"/>
        <v>0.16285196702347426</v>
      </c>
      <c r="AM141" s="27">
        <f t="shared" si="604"/>
        <v>0.17071333009376852</v>
      </c>
      <c r="AN141" s="27">
        <f t="shared" si="604"/>
        <v>0.15195721773693538</v>
      </c>
      <c r="AO141" s="27">
        <f t="shared" si="604"/>
        <v>0.17407476321897988</v>
      </c>
      <c r="AP141" s="27">
        <f t="shared" si="604"/>
        <v>0.16233048423636245</v>
      </c>
      <c r="AQ141" s="29">
        <f t="shared" si="604"/>
        <v>0.16499111511374623</v>
      </c>
      <c r="AR141" s="27">
        <f t="shared" si="604"/>
        <v>0.17041518507947218</v>
      </c>
      <c r="AS141" s="27">
        <f t="shared" si="604"/>
        <v>0.15172011306933661</v>
      </c>
      <c r="AT141" s="27">
        <f t="shared" si="604"/>
        <v>0.1737132605018861</v>
      </c>
      <c r="AU141" s="27">
        <f t="shared" si="604"/>
        <v>0.16213343250470003</v>
      </c>
      <c r="AV141" s="29">
        <f t="shared" si="604"/>
        <v>0.16471802455176912</v>
      </c>
    </row>
    <row r="142" spans="2:48" s="23" customFormat="1" outlineLevel="1" x14ac:dyDescent="0.3">
      <c r="B142" s="436" t="s">
        <v>77</v>
      </c>
      <c r="C142" s="437"/>
      <c r="D142" s="27">
        <f t="shared" ref="D142:AV142" si="605">+D19/D8</f>
        <v>0.17394123056975294</v>
      </c>
      <c r="E142" s="27">
        <f t="shared" si="605"/>
        <v>0.15843892227913536</v>
      </c>
      <c r="F142" s="27">
        <f t="shared" si="605"/>
        <v>0.18270555474131628</v>
      </c>
      <c r="G142" s="27">
        <f t="shared" si="605"/>
        <v>0.17201719282644154</v>
      </c>
      <c r="H142" s="29">
        <f t="shared" si="605"/>
        <v>0.17201964645435841</v>
      </c>
      <c r="I142" s="27">
        <f t="shared" si="605"/>
        <v>0.1819616463062376</v>
      </c>
      <c r="J142" s="27">
        <f t="shared" si="605"/>
        <v>9.2432910252347358E-2</v>
      </c>
      <c r="K142" s="27">
        <f t="shared" si="605"/>
        <v>-0.12558205632268285</v>
      </c>
      <c r="L142" s="113">
        <f t="shared" si="605"/>
        <v>0.13183730715287523</v>
      </c>
      <c r="M142" s="137">
        <f t="shared" si="605"/>
        <v>9.0704141508631861E-2</v>
      </c>
      <c r="N142" s="27">
        <f t="shared" si="605"/>
        <v>0.15533232583637069</v>
      </c>
      <c r="O142" s="27">
        <f t="shared" si="605"/>
        <v>0.1613377324535093</v>
      </c>
      <c r="P142" s="27">
        <f t="shared" si="605"/>
        <v>0.20548255852731262</v>
      </c>
      <c r="Q142" s="27">
        <f t="shared" si="605"/>
        <v>0.19607939411049871</v>
      </c>
      <c r="R142" s="137">
        <f t="shared" si="605"/>
        <v>0.18106990220435909</v>
      </c>
      <c r="S142" s="27">
        <f t="shared" si="605"/>
        <v>0.15067574282023255</v>
      </c>
      <c r="T142" s="27">
        <f t="shared" si="605"/>
        <v>0.13049400178113052</v>
      </c>
      <c r="U142" s="27">
        <f t="shared" si="605"/>
        <v>0.16846419062342788</v>
      </c>
      <c r="V142" s="420">
        <f t="shared" si="605"/>
        <v>0.1473122062267615</v>
      </c>
      <c r="W142" s="137">
        <f t="shared" si="605"/>
        <v>0.14952400739153818</v>
      </c>
      <c r="X142" s="27">
        <f t="shared" si="605"/>
        <v>0.14662849623084973</v>
      </c>
      <c r="Y142" s="27">
        <f t="shared" si="605"/>
        <v>0.13957098806581647</v>
      </c>
      <c r="Z142" s="27">
        <f t="shared" si="605"/>
        <v>0.16117985032565263</v>
      </c>
      <c r="AA142" s="27">
        <f t="shared" si="605"/>
        <v>0.16951223325059214</v>
      </c>
      <c r="AB142" s="137">
        <f t="shared" si="605"/>
        <v>0.15475139964473331</v>
      </c>
      <c r="AC142" s="27">
        <f t="shared" si="605"/>
        <v>0.16703720221648782</v>
      </c>
      <c r="AD142" s="27">
        <f t="shared" si="605"/>
        <v>0.1479357405578596</v>
      </c>
      <c r="AE142" s="27">
        <f t="shared" si="605"/>
        <v>0.16497685074485019</v>
      </c>
      <c r="AF142" s="27">
        <f t="shared" si="605"/>
        <v>0.15914680602636122</v>
      </c>
      <c r="AG142" s="137">
        <f t="shared" si="605"/>
        <v>0.15997062606058532</v>
      </c>
      <c r="AH142" s="27">
        <f t="shared" si="605"/>
        <v>0.1735529740995512</v>
      </c>
      <c r="AI142" s="27">
        <f t="shared" si="605"/>
        <v>0.15524201522508424</v>
      </c>
      <c r="AJ142" s="27">
        <f t="shared" si="605"/>
        <v>0.17825850718975195</v>
      </c>
      <c r="AK142" s="27">
        <f t="shared" si="605"/>
        <v>0.16670377681533147</v>
      </c>
      <c r="AL142" s="406">
        <f t="shared" si="605"/>
        <v>0.16867927699101279</v>
      </c>
      <c r="AM142" s="27">
        <f t="shared" si="605"/>
        <v>0.17607113153652154</v>
      </c>
      <c r="AN142" s="27">
        <f t="shared" si="605"/>
        <v>0.15765729231260706</v>
      </c>
      <c r="AO142" s="27">
        <f t="shared" si="605"/>
        <v>0.17929127563579245</v>
      </c>
      <c r="AP142" s="27">
        <f t="shared" si="605"/>
        <v>0.16742043190580616</v>
      </c>
      <c r="AQ142" s="29">
        <f t="shared" si="605"/>
        <v>0.17032270924033413</v>
      </c>
      <c r="AR142" s="27">
        <f t="shared" si="605"/>
        <v>0.17544578515027875</v>
      </c>
      <c r="AS142" s="27">
        <f t="shared" si="605"/>
        <v>0.15707595063127469</v>
      </c>
      <c r="AT142" s="27">
        <f t="shared" si="605"/>
        <v>0.17861575890355152</v>
      </c>
      <c r="AU142" s="27">
        <f t="shared" si="605"/>
        <v>0.16691564074304782</v>
      </c>
      <c r="AV142" s="29">
        <f t="shared" si="605"/>
        <v>0.16972690498574364</v>
      </c>
    </row>
    <row r="143" spans="2:48" s="23" customFormat="1" outlineLevel="1" x14ac:dyDescent="0.3">
      <c r="B143" s="436" t="s">
        <v>2</v>
      </c>
      <c r="C143" s="437"/>
      <c r="D143" s="27">
        <f t="shared" ref="D143:K143" si="606">D24/D23</f>
        <v>0.2124287933713101</v>
      </c>
      <c r="E143" s="27">
        <f t="shared" si="606"/>
        <v>0.1965853658536586</v>
      </c>
      <c r="F143" s="27">
        <f t="shared" si="606"/>
        <v>0.18110799689903978</v>
      </c>
      <c r="G143" s="118">
        <f t="shared" si="606"/>
        <v>0.20083682008368189</v>
      </c>
      <c r="H143" s="137">
        <f t="shared" si="606"/>
        <v>0.19515471765706843</v>
      </c>
      <c r="I143" s="118">
        <f t="shared" si="606"/>
        <v>0.22600104913446431</v>
      </c>
      <c r="J143" s="118">
        <f t="shared" si="606"/>
        <v>0.16760635571501836</v>
      </c>
      <c r="K143" s="118">
        <f t="shared" si="606"/>
        <v>0.16490147783251249</v>
      </c>
      <c r="L143" s="118">
        <v>0.25</v>
      </c>
      <c r="M143" s="137">
        <f t="shared" ref="M143:U143" si="607">M24/M23</f>
        <v>0.20585709378220463</v>
      </c>
      <c r="N143" s="118">
        <f t="shared" si="607"/>
        <v>0.23023629840405785</v>
      </c>
      <c r="O143" s="118">
        <f t="shared" si="607"/>
        <v>0.25901786717608721</v>
      </c>
      <c r="P143" s="118">
        <f t="shared" si="607"/>
        <v>0.18217246510309659</v>
      </c>
      <c r="Q143" s="118">
        <f t="shared" si="607"/>
        <v>0.21489588894821143</v>
      </c>
      <c r="R143" s="137">
        <f t="shared" si="607"/>
        <v>0.21591906068581893</v>
      </c>
      <c r="S143" s="118">
        <f t="shared" si="607"/>
        <v>0.23183358433734938</v>
      </c>
      <c r="T143" s="118">
        <f t="shared" si="607"/>
        <v>0.22954000684853323</v>
      </c>
      <c r="U143" s="118">
        <f t="shared" si="607"/>
        <v>0.23360174467371256</v>
      </c>
      <c r="V143" s="35">
        <v>0.24</v>
      </c>
      <c r="W143" s="137">
        <f>W24/W23</f>
        <v>0.23384710457777375</v>
      </c>
      <c r="X143" s="35">
        <v>0.245</v>
      </c>
      <c r="Y143" s="35">
        <v>0.245</v>
      </c>
      <c r="Z143" s="35">
        <v>0.245</v>
      </c>
      <c r="AA143" s="35">
        <v>0.245</v>
      </c>
      <c r="AB143" s="137">
        <f>AB24/AB23</f>
        <v>0.24499999999999991</v>
      </c>
      <c r="AC143" s="34">
        <f>AVERAGE(X143,Y143,Z143,AA143)</f>
        <v>0.245</v>
      </c>
      <c r="AD143" s="34">
        <f>AVERAGE(Y143,Z143,AA143,AC143)</f>
        <v>0.245</v>
      </c>
      <c r="AE143" s="34">
        <f>AVERAGE(Z143,AA143,AC143,AD143)</f>
        <v>0.245</v>
      </c>
      <c r="AF143" s="34">
        <f>AVERAGE(AA143,AC143,AD143,AE143)</f>
        <v>0.245</v>
      </c>
      <c r="AG143" s="29">
        <f>AG24/AG23</f>
        <v>0.24499999999999988</v>
      </c>
      <c r="AH143" s="34">
        <f>AVERAGE(AC143,AD143,AE143,AF143)</f>
        <v>0.245</v>
      </c>
      <c r="AI143" s="34">
        <f>AVERAGE(AD143,AE143,AF143,AH143)</f>
        <v>0.245</v>
      </c>
      <c r="AJ143" s="34">
        <f>AVERAGE(AE143,AF143,AH143,AI143)</f>
        <v>0.245</v>
      </c>
      <c r="AK143" s="34">
        <f>AVERAGE(AF143,AH143,AI143,AJ143)</f>
        <v>0.245</v>
      </c>
      <c r="AL143" s="29">
        <f>AL24/AL23</f>
        <v>0.24500000000000008</v>
      </c>
      <c r="AM143" s="34">
        <f>AVERAGE(AH143,AI143,AJ143,AK143)</f>
        <v>0.245</v>
      </c>
      <c r="AN143" s="34">
        <f>AVERAGE(AI143,AJ143,AK143,AM143)</f>
        <v>0.245</v>
      </c>
      <c r="AO143" s="34">
        <f>AVERAGE(AJ143,AK143,AM143,AN143)</f>
        <v>0.245</v>
      </c>
      <c r="AP143" s="34">
        <f>AVERAGE(AK143,AM143,AN143,AO143)</f>
        <v>0.245</v>
      </c>
      <c r="AQ143" s="29">
        <f>AQ24/AQ23</f>
        <v>0.24499999999999994</v>
      </c>
      <c r="AR143" s="34">
        <f>AVERAGE(AM143,AN143,AO143,AP143)</f>
        <v>0.245</v>
      </c>
      <c r="AS143" s="34">
        <f>AVERAGE(AN143,AO143,AP143,AR143)</f>
        <v>0.245</v>
      </c>
      <c r="AT143" s="34">
        <f>AVERAGE(AO143,AP143,AR143,AS143)</f>
        <v>0.245</v>
      </c>
      <c r="AU143" s="34">
        <f>AVERAGE(AP143,AR143,AS143,AT143)</f>
        <v>0.245</v>
      </c>
      <c r="AV143" s="29">
        <f>AV24/AV23</f>
        <v>0.24499999999999958</v>
      </c>
    </row>
    <row r="144" spans="2:48" s="23" customFormat="1" outlineLevel="1" x14ac:dyDescent="0.3">
      <c r="B144" s="436" t="s">
        <v>78</v>
      </c>
      <c r="C144" s="437"/>
      <c r="D144" s="27"/>
      <c r="E144" s="27">
        <f>+E21/(('Balance Sheet'!E6+'Balance Sheet'!E7+'Balance Sheet'!E12)+('Balance Sheet'!D6+'Balance Sheet'!D7+'Balance Sheet'!D12)/2)</f>
        <v>3.0327214684756584E-3</v>
      </c>
      <c r="F144" s="27">
        <f>+F21/(('Balance Sheet'!F6+'Balance Sheet'!F7+'Balance Sheet'!F12)+('Balance Sheet'!E6+'Balance Sheet'!E7+'Balance Sheet'!E12)/2)</f>
        <v>6.4321029136466161E-3</v>
      </c>
      <c r="G144" s="27">
        <f>+G21/(('Balance Sheet'!G6+'Balance Sheet'!G7+'Balance Sheet'!G12)+('Balance Sheet'!F6+'Balance Sheet'!F7+'Balance Sheet'!F12)/2)</f>
        <v>2.9603261807251862E-3</v>
      </c>
      <c r="H144" s="29"/>
      <c r="I144" s="27">
        <f>+I21/(('Balance Sheet'!I6+'Balance Sheet'!I7+'Balance Sheet'!I12)+('Balance Sheet'!G6+'Balance Sheet'!G7+'Balance Sheet'!G12)/2)</f>
        <v>3.3143988743550958E-3</v>
      </c>
      <c r="J144" s="27">
        <f>+J21/(('Balance Sheet'!J6+'Balance Sheet'!J7+'Balance Sheet'!J12)+('Balance Sheet'!I6+'Balance Sheet'!I7+'Balance Sheet'!I12)/2)</f>
        <v>4.4659305324505627E-4</v>
      </c>
      <c r="K144" s="27">
        <f>+K21/(('Balance Sheet'!K6+'Balance Sheet'!K7+'Balance Sheet'!K12)+('Balance Sheet'!J6+'Balance Sheet'!J7+'Balance Sheet'!J12)/2)</f>
        <v>2.1779393606804753E-3</v>
      </c>
      <c r="L144" s="27">
        <f>+L21/(('Balance Sheet'!L6+'Balance Sheet'!L7+'Balance Sheet'!L12)+('Balance Sheet'!K6+'Balance Sheet'!K7+'Balance Sheet'!K12)/2)</f>
        <v>1.2911830642186198E-3</v>
      </c>
      <c r="M144" s="29"/>
      <c r="N144" s="27">
        <f>+N21/(('Balance Sheet'!N6+'Balance Sheet'!N7+'Balance Sheet'!N12)+('Balance Sheet'!L6+'Balance Sheet'!L7+'Balance Sheet'!L12)/2)</f>
        <v>1.9686289451959073E-3</v>
      </c>
      <c r="O144" s="27">
        <f>+O21/(('Balance Sheet'!O6+'Balance Sheet'!O7+'Balance Sheet'!O12)+('Balance Sheet'!N6+'Balance Sheet'!N7+'Balance Sheet'!N12)/2)</f>
        <v>2.465933063458573E-3</v>
      </c>
      <c r="P144" s="27">
        <f>+P21/(('Balance Sheet'!P6+'Balance Sheet'!P7+'Balance Sheet'!P12)+('Balance Sheet'!O6+'Balance Sheet'!O7+'Balance Sheet'!O12)/2)</f>
        <v>4.9067713444553383E-3</v>
      </c>
      <c r="Q144" s="27">
        <f>+Q21/(('Balance Sheet'!Q6+'Balance Sheet'!Q7+'Balance Sheet'!Q12)+('Balance Sheet'!P6+'Balance Sheet'!P7+'Balance Sheet'!P12)/2)</f>
        <v>2.2641350477574504E-3</v>
      </c>
      <c r="R144" s="137"/>
      <c r="S144" s="27">
        <f>+S21/(('Balance Sheet'!S6+'Balance Sheet'!S7+'Balance Sheet'!S12)+('Balance Sheet'!Q6+'Balance Sheet'!Q7+'Balance Sheet'!Q12)/2)</f>
        <v>-1.2810330250313835E-5</v>
      </c>
      <c r="T144" s="27">
        <f>+T21/(('Balance Sheet'!T6+'Balance Sheet'!T7+'Balance Sheet'!T12)+('Balance Sheet'!S6+'Balance Sheet'!S7+'Balance Sheet'!S12)/2)</f>
        <v>7.1679593764030023E-3</v>
      </c>
      <c r="U144" s="27">
        <f>+U21/(('Balance Sheet'!U6+'Balance Sheet'!U7+'Balance Sheet'!U12)+('Balance Sheet'!T6+'Balance Sheet'!T7+'Balance Sheet'!T12)/2)</f>
        <v>3.4813492865871276E-3</v>
      </c>
      <c r="V144" s="35">
        <f>U144+0.25%</f>
        <v>5.9813492865871277E-3</v>
      </c>
      <c r="W144" s="137"/>
      <c r="X144" s="35">
        <f>V144+0.25%</f>
        <v>8.4813492865871282E-3</v>
      </c>
      <c r="Y144" s="35">
        <f>X144+0.5%</f>
        <v>1.3481349286587129E-2</v>
      </c>
      <c r="Z144" s="35">
        <f>Y144</f>
        <v>1.3481349286587129E-2</v>
      </c>
      <c r="AA144" s="35">
        <f>Z144-0.5%</f>
        <v>8.4813492865871282E-3</v>
      </c>
      <c r="AB144" s="137"/>
      <c r="AC144" s="35">
        <f>AA144</f>
        <v>8.4813492865871282E-3</v>
      </c>
      <c r="AD144" s="35">
        <f>AC144</f>
        <v>8.4813492865871282E-3</v>
      </c>
      <c r="AE144" s="35">
        <f>AD144</f>
        <v>8.4813492865871282E-3</v>
      </c>
      <c r="AF144" s="35">
        <f>AE144</f>
        <v>8.4813492865871282E-3</v>
      </c>
      <c r="AG144" s="29"/>
      <c r="AH144" s="35">
        <f>AF144</f>
        <v>8.4813492865871282E-3</v>
      </c>
      <c r="AI144" s="35">
        <f>AH144</f>
        <v>8.4813492865871282E-3</v>
      </c>
      <c r="AJ144" s="35">
        <f>AI144</f>
        <v>8.4813492865871282E-3</v>
      </c>
      <c r="AK144" s="35">
        <f>AJ144</f>
        <v>8.4813492865871282E-3</v>
      </c>
      <c r="AL144" s="29"/>
      <c r="AM144" s="35">
        <f>AK144</f>
        <v>8.4813492865871282E-3</v>
      </c>
      <c r="AN144" s="35">
        <f t="shared" ref="AN144:AP145" si="608">AM144</f>
        <v>8.4813492865871282E-3</v>
      </c>
      <c r="AO144" s="35">
        <f t="shared" si="608"/>
        <v>8.4813492865871282E-3</v>
      </c>
      <c r="AP144" s="35">
        <f t="shared" si="608"/>
        <v>8.4813492865871282E-3</v>
      </c>
      <c r="AQ144" s="29"/>
      <c r="AR144" s="35">
        <f>AP144</f>
        <v>8.4813492865871282E-3</v>
      </c>
      <c r="AS144" s="35">
        <f t="shared" ref="AS144:AU145" si="609">AR144</f>
        <v>8.4813492865871282E-3</v>
      </c>
      <c r="AT144" s="35">
        <f t="shared" si="609"/>
        <v>8.4813492865871282E-3</v>
      </c>
      <c r="AU144" s="35">
        <f t="shared" si="609"/>
        <v>8.4813492865871282E-3</v>
      </c>
      <c r="AV144" s="29"/>
    </row>
    <row r="145" spans="2:48" s="23" customFormat="1" outlineLevel="1" x14ac:dyDescent="0.3">
      <c r="B145" s="436" t="s">
        <v>79</v>
      </c>
      <c r="C145" s="437"/>
      <c r="D145" s="27"/>
      <c r="E145" s="215">
        <f>-E22/(((('Balance Sheet'!E28+'Balance Sheet'!E31)+('Balance Sheet'!D28+'Balance Sheet'!D31))/2))</f>
        <v>8.0557251242696429E-3</v>
      </c>
      <c r="F145" s="215">
        <f>-F22/(((('Balance Sheet'!F28+'Balance Sheet'!F31)+('Balance Sheet'!E28+'Balance Sheet'!E31))/2))</f>
        <v>8.4807318557490342E-3</v>
      </c>
      <c r="G145" s="215">
        <f>-G22/(((('Balance Sheet'!G28+'Balance Sheet'!G31)+('Balance Sheet'!F28+'Balance Sheet'!F31))/2))</f>
        <v>8.572925858076421E-3</v>
      </c>
      <c r="H145" s="29"/>
      <c r="I145" s="215">
        <f>-I22/(((('Balance Sheet'!I28+'Balance Sheet'!I31)+('Balance Sheet'!G28+'Balance Sheet'!G31))/2))</f>
        <v>8.0554679008449908E-3</v>
      </c>
      <c r="J145" s="215">
        <f>-J22/(((('Balance Sheet'!J28+'Balance Sheet'!J31)+('Balance Sheet'!I28+'Balance Sheet'!I31))/2))</f>
        <v>7.730372102084551E-3</v>
      </c>
      <c r="K145" s="215">
        <f>-K22/(((('Balance Sheet'!K28+'Balance Sheet'!K31)+('Balance Sheet'!J28+'Balance Sheet'!J31))/2))</f>
        <v>7.8322294946980078E-3</v>
      </c>
      <c r="L145" s="215">
        <f>-L22/(((('Balance Sheet'!L28+'Balance Sheet'!L31)+('Balance Sheet'!K28+'Balance Sheet'!K31))/2))</f>
        <v>7.5346594333936109E-3</v>
      </c>
      <c r="M145" s="29"/>
      <c r="N145" s="215">
        <f>-N22/(((('Balance Sheet'!N28+'Balance Sheet'!N31)+('Balance Sheet'!L28+'Balance Sheet'!L31))/2))</f>
        <v>7.481930548840208E-3</v>
      </c>
      <c r="O145" s="215">
        <f>-O22/(((('Balance Sheet'!O28+'Balance Sheet'!O31)+('Balance Sheet'!N28+'Balance Sheet'!N31))/2))</f>
        <v>7.5250206938069089E-3</v>
      </c>
      <c r="P145" s="215">
        <f>-P22/(((('Balance Sheet'!P28+'Balance Sheet'!P31)+('Balance Sheet'!O28+'Balance Sheet'!O31))/2))</f>
        <v>7.7494216976973845E-3</v>
      </c>
      <c r="Q145" s="215">
        <f>-Q22/(((('Balance Sheet'!Q28+'Balance Sheet'!Q31)+('Balance Sheet'!P28+'Balance Sheet'!P31))/2))</f>
        <v>8.2506952544819535E-3</v>
      </c>
      <c r="R145" s="29"/>
      <c r="S145" s="215">
        <f>-S22/(((('Balance Sheet'!S28+'Balance Sheet'!S31)+('Balance Sheet'!Q28+'Balance Sheet'!Q31))/2))</f>
        <v>7.8431639309692741E-3</v>
      </c>
      <c r="T145" s="215">
        <f>-T22/(((('Balance Sheet'!T28+'Balance Sheet'!T31)+('Balance Sheet'!S28+'Balance Sheet'!S31))/2))</f>
        <v>7.7341177845746236E-3</v>
      </c>
      <c r="U145" s="215">
        <f>-U22/(((('Balance Sheet'!U28+'Balance Sheet'!U31)+('Balance Sheet'!T28+'Balance Sheet'!T31))/2))</f>
        <v>7.9054937080361813E-3</v>
      </c>
      <c r="V145" s="35">
        <f>U145</f>
        <v>7.9054937080361813E-3</v>
      </c>
      <c r="W145" s="137"/>
      <c r="X145" s="35">
        <f>V145+0.01%</f>
        <v>8.0054937080361807E-3</v>
      </c>
      <c r="Y145" s="35">
        <f>X145+0.01%</f>
        <v>8.1054937080361801E-3</v>
      </c>
      <c r="Z145" s="35">
        <f t="shared" ref="Z145:AA145" si="610">Y145+0.01%</f>
        <v>8.2054937080361795E-3</v>
      </c>
      <c r="AA145" s="35">
        <f t="shared" si="610"/>
        <v>8.3054937080361789E-3</v>
      </c>
      <c r="AB145" s="137"/>
      <c r="AC145" s="35">
        <f>AA145+0.01%</f>
        <v>8.4054937080361783E-3</v>
      </c>
      <c r="AD145" s="35">
        <f>AC145+0.01%</f>
        <v>8.5054937080361777E-3</v>
      </c>
      <c r="AE145" s="35">
        <f t="shared" ref="AE145:AF145" si="611">AD145+0.01%</f>
        <v>8.6054937080361771E-3</v>
      </c>
      <c r="AF145" s="35">
        <f t="shared" si="611"/>
        <v>8.7054937080361765E-3</v>
      </c>
      <c r="AG145" s="29"/>
      <c r="AH145" s="35">
        <f>AF145+0.01%</f>
        <v>8.8054937080361759E-3</v>
      </c>
      <c r="AI145" s="35">
        <f>AH145+0.01%</f>
        <v>8.9054937080361753E-3</v>
      </c>
      <c r="AJ145" s="35">
        <f t="shared" ref="AJ145:AK145" si="612">AI145+0.01%</f>
        <v>9.0054937080361747E-3</v>
      </c>
      <c r="AK145" s="35">
        <f t="shared" si="612"/>
        <v>9.1054937080361741E-3</v>
      </c>
      <c r="AL145" s="29"/>
      <c r="AM145" s="35">
        <f>AK145</f>
        <v>9.1054937080361741E-3</v>
      </c>
      <c r="AN145" s="35">
        <f t="shared" si="608"/>
        <v>9.1054937080361741E-3</v>
      </c>
      <c r="AO145" s="35">
        <f t="shared" si="608"/>
        <v>9.1054937080361741E-3</v>
      </c>
      <c r="AP145" s="35">
        <f t="shared" si="608"/>
        <v>9.1054937080361741E-3</v>
      </c>
      <c r="AQ145" s="29"/>
      <c r="AR145" s="35">
        <f>AP145</f>
        <v>9.1054937080361741E-3</v>
      </c>
      <c r="AS145" s="35">
        <f t="shared" si="609"/>
        <v>9.1054937080361741E-3</v>
      </c>
      <c r="AT145" s="35">
        <f t="shared" si="609"/>
        <v>9.1054937080361741E-3</v>
      </c>
      <c r="AU145" s="35">
        <f t="shared" si="609"/>
        <v>9.1054937080361741E-3</v>
      </c>
      <c r="AV145" s="29"/>
    </row>
    <row r="146" spans="2:48" s="23" customFormat="1" outlineLevel="1" x14ac:dyDescent="0.3">
      <c r="B146" s="200" t="s">
        <v>186</v>
      </c>
      <c r="C146" s="201"/>
      <c r="D146" s="113"/>
      <c r="E146" s="113"/>
      <c r="F146" s="113"/>
      <c r="G146" s="113"/>
      <c r="H146" s="137"/>
      <c r="I146" s="113">
        <f>I33/D33-1</f>
        <v>0.2254857129231771</v>
      </c>
      <c r="J146" s="113">
        <f t="shared" ref="J146:AV146" si="613">J33/E33-1</f>
        <v>-0.47546772308917484</v>
      </c>
      <c r="K146" s="113">
        <f t="shared" si="613"/>
        <v>-1.5172211898784418</v>
      </c>
      <c r="L146" s="113">
        <f t="shared" si="613"/>
        <v>-0.49266142278343572</v>
      </c>
      <c r="M146" s="137">
        <f t="shared" si="613"/>
        <v>-0.73466371126240593</v>
      </c>
      <c r="N146" s="113">
        <f t="shared" si="613"/>
        <v>-0.292754196932551</v>
      </c>
      <c r="O146" s="113">
        <f t="shared" si="613"/>
        <v>1.0009687774744878</v>
      </c>
      <c r="P146" s="113">
        <f t="shared" si="613"/>
        <v>-2.6748075301104208</v>
      </c>
      <c r="Q146" s="113">
        <f t="shared" si="613"/>
        <v>3.4604705530296798</v>
      </c>
      <c r="R146" s="137">
        <f t="shared" si="613"/>
        <v>3.5714373754781779</v>
      </c>
      <c r="S146" s="113">
        <f t="shared" si="613"/>
        <v>0.31844745711851452</v>
      </c>
      <c r="T146" s="113">
        <f t="shared" si="613"/>
        <v>5.0603007043171555E-2</v>
      </c>
      <c r="U146" s="113">
        <f t="shared" si="613"/>
        <v>-0.18430865147381992</v>
      </c>
      <c r="V146" s="113">
        <f t="shared" si="613"/>
        <v>-0.55234250692993192</v>
      </c>
      <c r="W146" s="137">
        <f t="shared" si="613"/>
        <v>-0.22716128751643805</v>
      </c>
      <c r="X146" s="113">
        <f t="shared" si="613"/>
        <v>7.9550718576035795E-3</v>
      </c>
      <c r="Y146" s="113">
        <f t="shared" si="613"/>
        <v>0.16353283362602267</v>
      </c>
      <c r="Z146" s="113">
        <f t="shared" si="613"/>
        <v>0.10532170917404327</v>
      </c>
      <c r="AA146" s="113">
        <f t="shared" si="613"/>
        <v>0.40634063366669215</v>
      </c>
      <c r="AB146" s="137">
        <f t="shared" si="613"/>
        <v>0.16633183661452011</v>
      </c>
      <c r="AC146" s="113">
        <f t="shared" si="613"/>
        <v>0.37068155117772927</v>
      </c>
      <c r="AD146" s="113">
        <f t="shared" si="613"/>
        <v>0.1586386868546692</v>
      </c>
      <c r="AE146" s="113">
        <f t="shared" si="613"/>
        <v>0.12116751352677335</v>
      </c>
      <c r="AF146" s="113">
        <f t="shared" si="613"/>
        <v>3.7980418684439021E-2</v>
      </c>
      <c r="AG146" s="137">
        <f t="shared" si="613"/>
        <v>0.15943330504785913</v>
      </c>
      <c r="AH146" s="113">
        <f t="shared" si="613"/>
        <v>0.17573761042572644</v>
      </c>
      <c r="AI146" s="113">
        <f t="shared" si="613"/>
        <v>0.19254693827386538</v>
      </c>
      <c r="AJ146" s="113">
        <f t="shared" si="613"/>
        <v>0.275884938296862</v>
      </c>
      <c r="AK146" s="113">
        <f t="shared" si="613"/>
        <v>0.2550969313044078</v>
      </c>
      <c r="AL146" s="137">
        <f t="shared" si="613"/>
        <v>0.22545294054152043</v>
      </c>
      <c r="AM146" s="113">
        <f t="shared" si="613"/>
        <v>0.16962269430049015</v>
      </c>
      <c r="AN146" s="113">
        <f t="shared" si="613"/>
        <v>0.15858912183023421</v>
      </c>
      <c r="AO146" s="113">
        <f t="shared" si="613"/>
        <v>0.10936492041652679</v>
      </c>
      <c r="AP146" s="113">
        <f t="shared" si="613"/>
        <v>8.853589739654133E-2</v>
      </c>
      <c r="AQ146" s="137">
        <f t="shared" si="613"/>
        <v>0.13011183533025883</v>
      </c>
      <c r="AR146" s="113">
        <f t="shared" si="613"/>
        <v>7.8947313314104761E-2</v>
      </c>
      <c r="AS146" s="113">
        <f t="shared" si="613"/>
        <v>8.1577143603831503E-2</v>
      </c>
      <c r="AT146" s="113">
        <f t="shared" si="613"/>
        <v>7.7934408741551886E-2</v>
      </c>
      <c r="AU146" s="113">
        <f t="shared" si="613"/>
        <v>8.0390703464957136E-2</v>
      </c>
      <c r="AV146" s="137">
        <f t="shared" si="613"/>
        <v>7.9604915037411628E-2</v>
      </c>
    </row>
    <row r="147" spans="2:48" s="23" customFormat="1" outlineLevel="1" x14ac:dyDescent="0.3">
      <c r="B147" s="200" t="s">
        <v>139</v>
      </c>
      <c r="C147" s="201"/>
      <c r="D147" s="27"/>
      <c r="E147" s="27"/>
      <c r="F147" s="27"/>
      <c r="G147" s="27"/>
      <c r="H147" s="29"/>
      <c r="I147" s="27">
        <f t="shared" ref="I147:V147" si="614">I34/D34-1</f>
        <v>5.9389868457878192E-2</v>
      </c>
      <c r="J147" s="27">
        <f t="shared" si="614"/>
        <v>-0.47460546003783222</v>
      </c>
      <c r="K147" s="27">
        <f t="shared" si="614"/>
        <v>-1.5922286955663072</v>
      </c>
      <c r="L147" s="113">
        <f t="shared" si="614"/>
        <v>-0.26631134736842188</v>
      </c>
      <c r="M147" s="137">
        <f t="shared" si="614"/>
        <v>-0.59372113780519853</v>
      </c>
      <c r="N147" s="113">
        <f t="shared" si="614"/>
        <v>-0.23228377390823718</v>
      </c>
      <c r="O147" s="113">
        <f t="shared" si="614"/>
        <v>0.96992458477270005</v>
      </c>
      <c r="P147" s="113">
        <f t="shared" si="614"/>
        <v>-3.1776350920116565</v>
      </c>
      <c r="Q147" s="113">
        <f t="shared" si="614"/>
        <v>0.95350602232643134</v>
      </c>
      <c r="R147" s="29">
        <f t="shared" si="614"/>
        <v>1.8162682861720394</v>
      </c>
      <c r="S147" s="113">
        <f t="shared" si="614"/>
        <v>0.18036058258616094</v>
      </c>
      <c r="T147" s="113">
        <f t="shared" si="614"/>
        <v>-5.6546752866856842E-2</v>
      </c>
      <c r="U147" s="113">
        <f t="shared" si="614"/>
        <v>-0.16448812865885809</v>
      </c>
      <c r="V147" s="113">
        <f t="shared" si="614"/>
        <v>-0.26279791380310435</v>
      </c>
      <c r="W147" s="137">
        <f>W34/(R34-0.1-0.04)-1</f>
        <v>-7.1525533573520983E-2</v>
      </c>
      <c r="X147" s="113">
        <f t="shared" ref="X147:AV147" si="615">X34/S34-1</f>
        <v>6.727915242534821E-2</v>
      </c>
      <c r="Y147" s="113">
        <f t="shared" si="615"/>
        <v>0.22773643866843196</v>
      </c>
      <c r="Z147" s="113">
        <f t="shared" si="615"/>
        <v>8.9394667088473767E-2</v>
      </c>
      <c r="AA147" s="113">
        <f t="shared" si="615"/>
        <v>0.32611122579475427</v>
      </c>
      <c r="AB147" s="137">
        <f t="shared" si="615"/>
        <v>0.17253318908414506</v>
      </c>
      <c r="AC147" s="113">
        <f t="shared" si="615"/>
        <v>0.29730041490083137</v>
      </c>
      <c r="AD147" s="113">
        <f t="shared" si="615"/>
        <v>0.14982772973070535</v>
      </c>
      <c r="AE147" s="113">
        <f t="shared" si="615"/>
        <v>0.1158791658328151</v>
      </c>
      <c r="AF147" s="113">
        <f t="shared" si="615"/>
        <v>3.6367204254008412E-2</v>
      </c>
      <c r="AG147" s="137">
        <f t="shared" si="615"/>
        <v>0.14148331506405398</v>
      </c>
      <c r="AH147" s="113">
        <f t="shared" si="615"/>
        <v>0.16882317049873174</v>
      </c>
      <c r="AI147" s="113">
        <f t="shared" si="615"/>
        <v>0.18346735978771633</v>
      </c>
      <c r="AJ147" s="113">
        <f t="shared" si="615"/>
        <v>0.26687639569822519</v>
      </c>
      <c r="AK147" s="113">
        <f t="shared" si="615"/>
        <v>0.24842973471615903</v>
      </c>
      <c r="AL147" s="137">
        <f t="shared" si="615"/>
        <v>0.21757195528166751</v>
      </c>
      <c r="AM147" s="113">
        <f t="shared" si="615"/>
        <v>0.16673694088907975</v>
      </c>
      <c r="AN147" s="113">
        <f t="shared" si="615"/>
        <v>0.1556433660889891</v>
      </c>
      <c r="AO147" s="113">
        <f t="shared" si="615"/>
        <v>0.10733190377074098</v>
      </c>
      <c r="AP147" s="113">
        <f t="shared" si="615"/>
        <v>8.571441169422056E-2</v>
      </c>
      <c r="AQ147" s="29">
        <f t="shared" si="615"/>
        <v>0.12746244873358337</v>
      </c>
      <c r="AR147" s="113">
        <f t="shared" si="615"/>
        <v>7.6624770021764377E-2</v>
      </c>
      <c r="AS147" s="113">
        <f t="shared" si="615"/>
        <v>7.8684245297217403E-2</v>
      </c>
      <c r="AT147" s="113">
        <f t="shared" si="615"/>
        <v>7.5755195670590414E-2</v>
      </c>
      <c r="AU147" s="113">
        <f t="shared" si="615"/>
        <v>7.8029008610370765E-2</v>
      </c>
      <c r="AV147" s="29">
        <f t="shared" si="615"/>
        <v>7.719248614526375E-2</v>
      </c>
    </row>
    <row r="148" spans="2:48" s="23" customFormat="1" outlineLevel="1" x14ac:dyDescent="0.3">
      <c r="B148" s="200" t="s">
        <v>140</v>
      </c>
      <c r="C148" s="201"/>
      <c r="D148" s="27"/>
      <c r="E148" s="27"/>
      <c r="F148" s="27"/>
      <c r="G148" s="27"/>
      <c r="H148" s="29"/>
      <c r="I148" s="27">
        <f>'Cash Flow Statement'!I55</f>
        <v>-0.22820512820512895</v>
      </c>
      <c r="J148" s="27">
        <f>'Cash Flow Statement'!J55</f>
        <v>-4.4869364754098413</v>
      </c>
      <c r="K148" s="27">
        <f>'Cash Flow Statement'!K55</f>
        <v>-1.314434752864716</v>
      </c>
      <c r="L148" s="113">
        <f>'Cash Flow Statement'!L55</f>
        <v>0.34527569713924766</v>
      </c>
      <c r="M148" s="137">
        <f>'Cash Flow Statement'!M55</f>
        <v>-0.68340961778517451</v>
      </c>
      <c r="N148" s="113">
        <f>'Cash Flow Statement'!N55</f>
        <v>-2.1785305811139466E-4</v>
      </c>
      <c r="O148" s="113">
        <f>'Cash Flow Statement'!O55</f>
        <v>-1.649232351428781</v>
      </c>
      <c r="P148" s="113">
        <f>'Cash Flow Statement'!P55</f>
        <v>-5.7565950503127619</v>
      </c>
      <c r="Q148" s="113">
        <f>'Cash Flow Statement'!Q55</f>
        <v>2.012477359629572E-2</v>
      </c>
      <c r="R148" s="29">
        <f>'Cash Flow Statement'!R55</f>
        <v>2.7484040555764064</v>
      </c>
      <c r="S148" s="113">
        <f>'Cash Flow Statement'!S55</f>
        <v>1.9175246499972598E-2</v>
      </c>
      <c r="T148" s="113">
        <f>'Cash Flow Statement'!T55</f>
        <v>-0.81681375876895213</v>
      </c>
      <c r="U148" s="113">
        <f>'Cash Flow Statement'!U55</f>
        <v>-0.27684391080617499</v>
      </c>
      <c r="V148" s="113">
        <f>'Cash Flow Statement'!V55</f>
        <v>-0.12064240558931372</v>
      </c>
      <c r="W148" s="137">
        <f>'Cash Flow Statement'!W55</f>
        <v>-0.22613385864216728</v>
      </c>
      <c r="X148" s="113">
        <f>'Cash Flow Statement'!X55</f>
        <v>-0.10151519278243049</v>
      </c>
      <c r="Y148" s="113">
        <f>'Cash Flow Statement'!Y55</f>
        <v>3.42008860876326</v>
      </c>
      <c r="Z148" s="113">
        <f>'Cash Flow Statement'!Z55</f>
        <v>-0.15006052484644972</v>
      </c>
      <c r="AA148" s="113">
        <f>'Cash Flow Statement'!AA55</f>
        <v>0.45536887484654054</v>
      </c>
      <c r="AB148" s="137">
        <f>'Cash Flow Statement'!AB55</f>
        <v>0.16892238661618042</v>
      </c>
      <c r="AC148" s="113">
        <f>'Cash Flow Statement'!AC55</f>
        <v>0.24691883730583397</v>
      </c>
      <c r="AD148" s="113">
        <f>'Cash Flow Statement'!AD55</f>
        <v>0.37530176562116235</v>
      </c>
      <c r="AE148" s="113">
        <f>'Cash Flow Statement'!AE55</f>
        <v>0.34612643463409065</v>
      </c>
      <c r="AF148" s="113">
        <f>'Cash Flow Statement'!AF55</f>
        <v>-2.4736637203284673E-2</v>
      </c>
      <c r="AG148" s="137">
        <f>'Cash Flow Statement'!AG55</f>
        <v>0.18597703626609663</v>
      </c>
      <c r="AH148" s="113">
        <f>'Cash Flow Statement'!AH55</f>
        <v>0.10455238731064909</v>
      </c>
      <c r="AI148" s="113">
        <f>'Cash Flow Statement'!AI55</f>
        <v>0.14187144563770904</v>
      </c>
      <c r="AJ148" s="113">
        <f>'Cash Flow Statement'!AJ55</f>
        <v>0.12148208131993044</v>
      </c>
      <c r="AK148" s="113">
        <f>'Cash Flow Statement'!AK55</f>
        <v>0.15953464638914094</v>
      </c>
      <c r="AL148" s="29">
        <f>'Cash Flow Statement'!AL55</f>
        <v>0.13032310166971062</v>
      </c>
      <c r="AM148" s="113">
        <f>'Cash Flow Statement'!AM55</f>
        <v>0.11491532672238369</v>
      </c>
      <c r="AN148" s="113">
        <f>'Cash Flow Statement'!AN55</f>
        <v>8.9409040912066695E-2</v>
      </c>
      <c r="AO148" s="113">
        <f>'Cash Flow Statement'!AO55</f>
        <v>6.908370374215278E-2</v>
      </c>
      <c r="AP148" s="113">
        <f>'Cash Flow Statement'!AP55</f>
        <v>9.9590570093358588E-2</v>
      </c>
      <c r="AQ148" s="29">
        <f>'Cash Flow Statement'!AQ55</f>
        <v>9.6083395525643045E-2</v>
      </c>
      <c r="AR148" s="113">
        <f>'Cash Flow Statement'!AR55</f>
        <v>9.3863479209438605E-2</v>
      </c>
      <c r="AS148" s="113">
        <f>'Cash Flow Statement'!AS55</f>
        <v>9.4543027290346471E-2</v>
      </c>
      <c r="AT148" s="113">
        <f>'Cash Flow Statement'!AT55</f>
        <v>0.10685921755755201</v>
      </c>
      <c r="AU148" s="113">
        <f>'Cash Flow Statement'!AU55</f>
        <v>5.8776205961678762E-2</v>
      </c>
      <c r="AV148" s="29">
        <f>'Cash Flow Statement'!AV55</f>
        <v>8.6133821901191343E-2</v>
      </c>
    </row>
    <row r="149" spans="2:48" s="23" customFormat="1" outlineLevel="1" x14ac:dyDescent="0.3">
      <c r="B149" s="200" t="s">
        <v>335</v>
      </c>
      <c r="C149" s="201"/>
      <c r="D149" s="27"/>
      <c r="E149" s="27"/>
      <c r="F149" s="27"/>
      <c r="G149" s="27"/>
      <c r="H149" s="29"/>
      <c r="I149" s="27"/>
      <c r="J149" s="27"/>
      <c r="K149" s="27"/>
      <c r="L149" s="113"/>
      <c r="M149" s="137"/>
      <c r="N149" s="113"/>
      <c r="O149" s="113"/>
      <c r="P149" s="113"/>
      <c r="Q149" s="113"/>
      <c r="R149" s="29"/>
      <c r="S149" s="113"/>
      <c r="T149" s="113"/>
      <c r="U149" s="113"/>
      <c r="V149" s="113"/>
      <c r="W149" s="137"/>
      <c r="X149" s="113"/>
      <c r="Y149" s="113"/>
      <c r="Z149" s="113"/>
      <c r="AA149" s="113"/>
      <c r="AB149" s="137"/>
      <c r="AC149" s="113"/>
      <c r="AD149" s="113"/>
      <c r="AE149" s="113"/>
      <c r="AF149" s="113"/>
      <c r="AG149" s="137"/>
      <c r="AH149" s="113"/>
      <c r="AI149" s="113"/>
      <c r="AJ149" s="113"/>
      <c r="AK149" s="113"/>
      <c r="AL149" s="406">
        <f>(AL34/W34)^(1/3)-1</f>
        <v>0.17678317249137177</v>
      </c>
      <c r="AM149" s="113"/>
      <c r="AN149" s="113"/>
      <c r="AO149" s="113"/>
      <c r="AP149" s="113"/>
      <c r="AQ149" s="29"/>
      <c r="AR149" s="113"/>
      <c r="AS149" s="113"/>
      <c r="AT149" s="113"/>
      <c r="AU149" s="113"/>
      <c r="AV149" s="29"/>
    </row>
    <row r="150" spans="2:48" ht="17.399999999999999" x14ac:dyDescent="0.45">
      <c r="B150" s="432" t="s">
        <v>130</v>
      </c>
      <c r="C150" s="433"/>
      <c r="D150" s="14" t="s">
        <v>19</v>
      </c>
      <c r="E150" s="14" t="s">
        <v>81</v>
      </c>
      <c r="F150" s="14" t="s">
        <v>85</v>
      </c>
      <c r="G150" s="14" t="s">
        <v>95</v>
      </c>
      <c r="H150" s="40" t="s">
        <v>96</v>
      </c>
      <c r="I150" s="14" t="s">
        <v>97</v>
      </c>
      <c r="J150" s="14" t="s">
        <v>98</v>
      </c>
      <c r="K150" s="14" t="s">
        <v>99</v>
      </c>
      <c r="L150" s="14" t="s">
        <v>142</v>
      </c>
      <c r="M150" s="40" t="s">
        <v>143</v>
      </c>
      <c r="N150" s="14" t="s">
        <v>149</v>
      </c>
      <c r="O150" s="14" t="s">
        <v>157</v>
      </c>
      <c r="P150" s="14" t="s">
        <v>159</v>
      </c>
      <c r="Q150" s="14" t="s">
        <v>172</v>
      </c>
      <c r="R150" s="40" t="s">
        <v>173</v>
      </c>
      <c r="S150" s="14" t="s">
        <v>188</v>
      </c>
      <c r="T150" s="14" t="s">
        <v>189</v>
      </c>
      <c r="U150" s="14" t="s">
        <v>204</v>
      </c>
      <c r="V150" s="12" t="s">
        <v>25</v>
      </c>
      <c r="W150" s="255"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164</v>
      </c>
      <c r="AN150" s="12" t="s">
        <v>165</v>
      </c>
      <c r="AO150" s="12" t="s">
        <v>166</v>
      </c>
      <c r="AP150" s="12" t="s">
        <v>167</v>
      </c>
      <c r="AQ150" s="42" t="s">
        <v>168</v>
      </c>
      <c r="AR150" s="12" t="s">
        <v>195</v>
      </c>
      <c r="AS150" s="12" t="s">
        <v>196</v>
      </c>
      <c r="AT150" s="12" t="s">
        <v>197</v>
      </c>
      <c r="AU150" s="12" t="s">
        <v>198</v>
      </c>
      <c r="AV150" s="42" t="s">
        <v>199</v>
      </c>
    </row>
    <row r="151" spans="2:48" outlineLevel="1" x14ac:dyDescent="0.3">
      <c r="B151" s="436" t="s">
        <v>208</v>
      </c>
      <c r="C151" s="437"/>
      <c r="D151" s="27"/>
      <c r="E151" s="27">
        <f t="shared" ref="E151:G151" si="616">(E30+E155+E158+E161)/D30-1</f>
        <v>2.777764747303535E-2</v>
      </c>
      <c r="F151" s="27">
        <f t="shared" si="616"/>
        <v>-1.7269004124131682E-2</v>
      </c>
      <c r="G151" s="27">
        <f t="shared" si="616"/>
        <v>1.9258933156590885E-2</v>
      </c>
      <c r="H151" s="9"/>
      <c r="I151" s="27">
        <f>(I30+I155+I158+I161)/G30-1</f>
        <v>-1.436336111538794E-2</v>
      </c>
      <c r="J151" s="27">
        <f t="shared" ref="J151:L151" si="617">(J30+J155+J158+J161)/I30-1</f>
        <v>-1.1333810572689007E-3</v>
      </c>
      <c r="K151" s="27">
        <f t="shared" si="617"/>
        <v>-2.8161802355349819E-3</v>
      </c>
      <c r="L151" s="27">
        <f t="shared" si="617"/>
        <v>-9.5210569021197955E-4</v>
      </c>
      <c r="M151" s="9"/>
      <c r="N151" s="27">
        <f>(N30+N155+N158+N161)/L30-1</f>
        <v>6.5210015787404707E-3</v>
      </c>
      <c r="O151" s="27">
        <f t="shared" ref="O151:Q151" si="618">(O30+O155+O158+O161)/N30-1</f>
        <v>2.1276595744681437E-3</v>
      </c>
      <c r="P151" s="27">
        <f t="shared" si="618"/>
        <v>8.4925690021231404E-4</v>
      </c>
      <c r="Q151" s="27">
        <f t="shared" si="618"/>
        <v>8.4925690021231404E-4</v>
      </c>
      <c r="R151" s="9"/>
      <c r="S151" s="27">
        <f>(S30+S155+S158+S161)/Q30-1</f>
        <v>1.7994180128374726E-2</v>
      </c>
      <c r="T151" s="27">
        <f>(T30+T155+T158+T161)/S30-1</f>
        <v>-1.2989686217510177E-2</v>
      </c>
      <c r="U151" s="27">
        <f>(U30+U155+U158+U161)/T30-1</f>
        <v>-1.9143752175426743E-3</v>
      </c>
      <c r="V151" s="35">
        <v>2E-3</v>
      </c>
      <c r="W151" s="256"/>
      <c r="X151" s="35">
        <v>2E-3</v>
      </c>
      <c r="Y151" s="35">
        <v>2E-3</v>
      </c>
      <c r="Z151" s="35">
        <v>2E-3</v>
      </c>
      <c r="AA151" s="35">
        <v>2E-3</v>
      </c>
      <c r="AB151" s="9"/>
      <c r="AC151" s="35">
        <v>2E-3</v>
      </c>
      <c r="AD151" s="35">
        <v>2E-3</v>
      </c>
      <c r="AE151" s="35">
        <v>2E-3</v>
      </c>
      <c r="AF151" s="35">
        <v>2E-3</v>
      </c>
      <c r="AG151" s="9"/>
      <c r="AH151" s="35">
        <v>2E-3</v>
      </c>
      <c r="AI151" s="35">
        <v>2E-3</v>
      </c>
      <c r="AJ151" s="35">
        <v>2E-3</v>
      </c>
      <c r="AK151" s="35">
        <v>2E-3</v>
      </c>
      <c r="AL151" s="9"/>
      <c r="AM151" s="35">
        <v>2E-3</v>
      </c>
      <c r="AN151" s="35">
        <v>2E-3</v>
      </c>
      <c r="AO151" s="35">
        <v>2E-3</v>
      </c>
      <c r="AP151" s="35">
        <v>2E-3</v>
      </c>
      <c r="AQ151" s="9"/>
      <c r="AR151" s="35">
        <v>2E-3</v>
      </c>
      <c r="AS151" s="35">
        <v>2E-3</v>
      </c>
      <c r="AT151" s="35">
        <v>2E-3</v>
      </c>
      <c r="AU151" s="35">
        <v>2E-3</v>
      </c>
      <c r="AV151" s="9"/>
    </row>
    <row r="152" spans="2:48" outlineLevel="1" x14ac:dyDescent="0.3">
      <c r="B152" s="436" t="s">
        <v>209</v>
      </c>
      <c r="C152" s="437"/>
      <c r="D152" s="27"/>
      <c r="E152" s="27">
        <f t="shared" ref="E152:G152" si="619">(E31+E155+E158+E161)/D31-1</f>
        <v>2.7604785512613583E-2</v>
      </c>
      <c r="F152" s="27">
        <f t="shared" si="619"/>
        <v>-1.6710442080933863E-2</v>
      </c>
      <c r="G152" s="27">
        <f t="shared" si="619"/>
        <v>1.9089589576967603E-2</v>
      </c>
      <c r="H152" s="9"/>
      <c r="I152" s="27">
        <f>(I31+I155+I158+I161)/G31-1</f>
        <v>-1.5386652077945762E-2</v>
      </c>
      <c r="J152" s="27">
        <f t="shared" ref="J152:L152" si="620">(J31+J155+J158+J161)/I31-1</f>
        <v>-2.5506658270361138E-3</v>
      </c>
      <c r="K152" s="27">
        <f t="shared" si="620"/>
        <v>-1.0332853392055585E-2</v>
      </c>
      <c r="L152" s="27">
        <f t="shared" si="620"/>
        <v>8.9858793324775199E-3</v>
      </c>
      <c r="M152" s="9"/>
      <c r="N152" s="27">
        <f>(N31+N155+N158+N161)/L31-1</f>
        <v>3.392705682782049E-3</v>
      </c>
      <c r="O152" s="27">
        <f t="shared" ref="O152:Q152" si="621">(O31+O155+O158+O161)/N31-1</f>
        <v>1.5215553677092597E-3</v>
      </c>
      <c r="P152" s="27">
        <f t="shared" si="621"/>
        <v>1.1816340310601969E-3</v>
      </c>
      <c r="Q152" s="27">
        <f t="shared" si="621"/>
        <v>1.4331478671387732E-3</v>
      </c>
      <c r="R152" s="9"/>
      <c r="S152" s="27">
        <f>(S31+S155+S158+S161)/Q31-1</f>
        <v>1.6689115245390962E-2</v>
      </c>
      <c r="T152" s="27">
        <f>(T31+T155+T158+T161)/S31-1</f>
        <v>-1.4867191058983376E-2</v>
      </c>
      <c r="U152" s="27">
        <f>(U31+U155+U158+U161)/T31-1</f>
        <v>-2.5132160499177214E-3</v>
      </c>
      <c r="V152" s="35">
        <v>1E-3</v>
      </c>
      <c r="W152" s="256"/>
      <c r="X152" s="35">
        <v>1E-3</v>
      </c>
      <c r="Y152" s="35">
        <v>1E-3</v>
      </c>
      <c r="Z152" s="35">
        <v>1E-3</v>
      </c>
      <c r="AA152" s="35">
        <v>1E-3</v>
      </c>
      <c r="AB152" s="9"/>
      <c r="AC152" s="35">
        <v>1E-3</v>
      </c>
      <c r="AD152" s="35">
        <v>1E-3</v>
      </c>
      <c r="AE152" s="35">
        <v>1E-3</v>
      </c>
      <c r="AF152" s="35">
        <v>1E-3</v>
      </c>
      <c r="AG152" s="9"/>
      <c r="AH152" s="35">
        <v>1E-3</v>
      </c>
      <c r="AI152" s="35">
        <v>1E-3</v>
      </c>
      <c r="AJ152" s="35">
        <v>1E-3</v>
      </c>
      <c r="AK152" s="35">
        <v>1E-3</v>
      </c>
      <c r="AL152" s="9"/>
      <c r="AM152" s="35">
        <v>1E-3</v>
      </c>
      <c r="AN152" s="35">
        <v>1E-3</v>
      </c>
      <c r="AO152" s="35">
        <v>1E-3</v>
      </c>
      <c r="AP152" s="35">
        <v>1E-3</v>
      </c>
      <c r="AQ152" s="9"/>
      <c r="AR152" s="35">
        <v>1E-3</v>
      </c>
      <c r="AS152" s="35">
        <v>1E-3</v>
      </c>
      <c r="AT152" s="35">
        <v>1E-3</v>
      </c>
      <c r="AU152" s="35">
        <v>1E-3</v>
      </c>
      <c r="AV152" s="9"/>
    </row>
    <row r="153" spans="2:48" outlineLevel="1" x14ac:dyDescent="0.3">
      <c r="B153" s="462" t="s">
        <v>137</v>
      </c>
      <c r="C153" s="463"/>
      <c r="D153" s="245"/>
      <c r="E153" s="144">
        <v>69.922678056926543</v>
      </c>
      <c r="F153" s="144">
        <v>83.13076202744692</v>
      </c>
      <c r="G153" s="144">
        <v>92.52</v>
      </c>
      <c r="H153" s="246"/>
      <c r="I153" s="144">
        <v>85.23</v>
      </c>
      <c r="J153" s="144">
        <v>78.08</v>
      </c>
      <c r="K153" s="144">
        <v>0</v>
      </c>
      <c r="L153" s="144">
        <v>0</v>
      </c>
      <c r="M153" s="246"/>
      <c r="N153" s="144">
        <v>0</v>
      </c>
      <c r="O153" s="144">
        <v>0</v>
      </c>
      <c r="P153" s="144">
        <v>0</v>
      </c>
      <c r="Q153" s="144">
        <v>0</v>
      </c>
      <c r="R153" s="246"/>
      <c r="S153" s="144">
        <v>113.12</v>
      </c>
      <c r="T153" s="144">
        <v>94.51</v>
      </c>
      <c r="U153" s="144">
        <v>0</v>
      </c>
      <c r="V153" s="247">
        <f>+U153</f>
        <v>0</v>
      </c>
      <c r="W153" s="257"/>
      <c r="X153" s="247">
        <v>0</v>
      </c>
      <c r="Y153" s="247">
        <v>0</v>
      </c>
      <c r="Z153" s="247">
        <v>0</v>
      </c>
      <c r="AA153" s="247">
        <v>0</v>
      </c>
      <c r="AB153" s="246"/>
      <c r="AC153" s="393">
        <f>AG35/0.02</f>
        <v>109.3955625</v>
      </c>
      <c r="AD153" s="247">
        <f>+AC153</f>
        <v>109.3955625</v>
      </c>
      <c r="AE153" s="247">
        <f>+AD153</f>
        <v>109.3955625</v>
      </c>
      <c r="AF153" s="247">
        <f>+AE153</f>
        <v>109.3955625</v>
      </c>
      <c r="AG153" s="390"/>
      <c r="AH153" s="393">
        <f>AL35/0.02</f>
        <v>114.865340625</v>
      </c>
      <c r="AI153" s="247">
        <f>AH153</f>
        <v>114.865340625</v>
      </c>
      <c r="AJ153" s="247">
        <f>AI153</f>
        <v>114.865340625</v>
      </c>
      <c r="AK153" s="247">
        <f>AJ153</f>
        <v>114.865340625</v>
      </c>
      <c r="AL153" s="390"/>
      <c r="AM153" s="247">
        <f>AQ35/0.02</f>
        <v>119.7152105625</v>
      </c>
      <c r="AN153" s="247">
        <f>AM153</f>
        <v>119.7152105625</v>
      </c>
      <c r="AO153" s="247">
        <f>AN153</f>
        <v>119.7152105625</v>
      </c>
      <c r="AP153" s="247">
        <f>AO153</f>
        <v>119.7152105625</v>
      </c>
      <c r="AQ153" s="246"/>
      <c r="AR153" s="247">
        <f>AV35/0.02</f>
        <v>122.10951477375001</v>
      </c>
      <c r="AS153" s="247">
        <f>AR153</f>
        <v>122.10951477375001</v>
      </c>
      <c r="AT153" s="247">
        <f>AS153</f>
        <v>122.10951477375001</v>
      </c>
      <c r="AU153" s="247">
        <f>AT153</f>
        <v>122.10951477375001</v>
      </c>
      <c r="AV153" s="246"/>
    </row>
    <row r="154" spans="2:48" outlineLevel="1" x14ac:dyDescent="0.3">
      <c r="B154" s="436" t="s">
        <v>138</v>
      </c>
      <c r="C154" s="437"/>
      <c r="D154" s="16"/>
      <c r="E154" s="105">
        <v>713.2</v>
      </c>
      <c r="F154" s="105">
        <f>954.3-713.2</f>
        <v>241.09999999999991</v>
      </c>
      <c r="G154" s="101">
        <v>2177.1942404399997</v>
      </c>
      <c r="H154" s="17">
        <f>+SUM(D154:G154)</f>
        <v>3131.4942404399999</v>
      </c>
      <c r="I154" s="101">
        <v>1107.9389472300002</v>
      </c>
      <c r="J154" s="101">
        <v>567.02921856000012</v>
      </c>
      <c r="K154" s="101">
        <v>0</v>
      </c>
      <c r="L154" s="101">
        <v>0</v>
      </c>
      <c r="M154" s="17">
        <f>+SUM(I154:L154)</f>
        <v>1674.9681657900003</v>
      </c>
      <c r="N154" s="101">
        <v>0</v>
      </c>
      <c r="O154" s="101">
        <v>0</v>
      </c>
      <c r="P154" s="101">
        <v>0</v>
      </c>
      <c r="Q154" s="101">
        <v>0</v>
      </c>
      <c r="R154" s="17">
        <f>+SUM(N154:Q154)</f>
        <v>0</v>
      </c>
      <c r="S154" s="101">
        <f>S155*S153</f>
        <v>3520.86</v>
      </c>
      <c r="T154" s="101">
        <f>T155*T153</f>
        <v>492.13842613000003</v>
      </c>
      <c r="U154" s="101">
        <v>0</v>
      </c>
      <c r="V154" s="33">
        <f>U154</f>
        <v>0</v>
      </c>
      <c r="W154" s="169">
        <f>+SUM(S154:V154)</f>
        <v>4012.9984261300001</v>
      </c>
      <c r="X154" s="33">
        <v>0</v>
      </c>
      <c r="Y154" s="33">
        <v>0</v>
      </c>
      <c r="Z154" s="33">
        <v>0</v>
      </c>
      <c r="AA154" s="33">
        <v>0</v>
      </c>
      <c r="AB154" s="17">
        <f>+SUM(X154:AA154)</f>
        <v>0</v>
      </c>
      <c r="AC154" s="33"/>
      <c r="AD154" s="33"/>
      <c r="AE154" s="33">
        <v>100</v>
      </c>
      <c r="AF154" s="33">
        <v>100</v>
      </c>
      <c r="AG154" s="17">
        <f>+SUM(AC154:AF154)</f>
        <v>200</v>
      </c>
      <c r="AH154" s="33">
        <v>100</v>
      </c>
      <c r="AI154" s="33">
        <v>100</v>
      </c>
      <c r="AJ154" s="33">
        <v>5190.5983828510816</v>
      </c>
      <c r="AK154" s="33">
        <f>AJ154</f>
        <v>5190.5983828510816</v>
      </c>
      <c r="AL154" s="17">
        <f>+SUM(AH154:AK154)</f>
        <v>10581.196765702163</v>
      </c>
      <c r="AM154" s="33">
        <v>250</v>
      </c>
      <c r="AN154" s="33">
        <v>250</v>
      </c>
      <c r="AO154" s="33">
        <v>250</v>
      </c>
      <c r="AP154" s="33">
        <v>250</v>
      </c>
      <c r="AQ154" s="17">
        <f>+SUM(AM154:AP154)</f>
        <v>1000</v>
      </c>
      <c r="AR154" s="33">
        <v>250</v>
      </c>
      <c r="AS154" s="33">
        <v>250</v>
      </c>
      <c r="AT154" s="33">
        <v>250</v>
      </c>
      <c r="AU154" s="33">
        <v>250</v>
      </c>
      <c r="AV154" s="17">
        <f>+SUM(AR154:AU154)</f>
        <v>1000</v>
      </c>
    </row>
    <row r="155" spans="2:48" outlineLevel="1" x14ac:dyDescent="0.3">
      <c r="B155" s="436" t="s">
        <v>207</v>
      </c>
      <c r="C155" s="437"/>
      <c r="D155" s="139"/>
      <c r="E155" s="139">
        <f>IF((E154)&gt;0,(E154/E153),0)</f>
        <v>10.199838161509755</v>
      </c>
      <c r="F155" s="142">
        <f>IF((F154)&gt;0,(F154/F153),0)</f>
        <v>2.9002500893760241</v>
      </c>
      <c r="G155" s="142">
        <f>IF((G154)&gt;0,(G154/G153),0)</f>
        <v>23.532146999999998</v>
      </c>
      <c r="H155" s="49">
        <f>+SUM(D155:G155)</f>
        <v>36.632235250885778</v>
      </c>
      <c r="I155" s="139">
        <f>IF((I154)&gt;0,(I154/I153),0)</f>
        <v>12.999401000000001</v>
      </c>
      <c r="J155" s="142">
        <f>IF((J154)&gt;0,(J154/J153),0)</f>
        <v>7.262157000000002</v>
      </c>
      <c r="K155" s="139">
        <f>IF((K154)&gt;0,(K154/K153),0)</f>
        <v>0</v>
      </c>
      <c r="L155" s="139">
        <f>IF((L154)&gt;0,(L154/L153),0)</f>
        <v>0</v>
      </c>
      <c r="M155" s="49">
        <f>+SUM(I155:L155)</f>
        <v>20.261558000000001</v>
      </c>
      <c r="N155" s="139">
        <f>IF((N154)&gt;0,(N154/N153),0)</f>
        <v>0</v>
      </c>
      <c r="O155" s="139">
        <f>IF((O154)&gt;0,(O154/O153),0)</f>
        <v>0</v>
      </c>
      <c r="P155" s="139">
        <f>IF((P154)&gt;0,(P154/P153),0)</f>
        <v>0</v>
      </c>
      <c r="Q155" s="139">
        <f>IF((Q154)&gt;0,(Q154/Q153),0)</f>
        <v>0</v>
      </c>
      <c r="R155" s="49">
        <f>+SUM(N155:Q155)</f>
        <v>0</v>
      </c>
      <c r="S155" s="139">
        <v>31.125</v>
      </c>
      <c r="T155" s="142">
        <v>5.2072630000000002</v>
      </c>
      <c r="U155" s="142">
        <f>IF((U154)&gt;0,(U154/U153),0)</f>
        <v>0</v>
      </c>
      <c r="V155" s="139">
        <f>IF((V154)&gt;0,(V154/V153),0)</f>
        <v>0</v>
      </c>
      <c r="W155" s="49">
        <f>+SUM(S155:V155)</f>
        <v>36.332262999999998</v>
      </c>
      <c r="X155" s="139">
        <f>IF((X154)&gt;0,(X154/X153),0)</f>
        <v>0</v>
      </c>
      <c r="Y155" s="139">
        <f>IF((Y154)&gt;0,(Y154/Y153),0)</f>
        <v>0</v>
      </c>
      <c r="Z155" s="139">
        <f>IF((Z154)&gt;0,(Z154/Z153),0)</f>
        <v>0</v>
      </c>
      <c r="AA155" s="139">
        <f>IF((AA154)&gt;0,(AA154/AA153),0)</f>
        <v>0</v>
      </c>
      <c r="AB155" s="49">
        <f>+SUM(X155:AA155)</f>
        <v>0</v>
      </c>
      <c r="AC155" s="139">
        <f>IF((AC154)&gt;0,(AC154/AC153),0)</f>
        <v>0</v>
      </c>
      <c r="AD155" s="139">
        <f>IF((AD154)&gt;0,(AD154/AD153),0)</f>
        <v>0</v>
      </c>
      <c r="AE155" s="139">
        <f>IF((AE154)&gt;0,(AE154/AE153),0)</f>
        <v>0.9141138608798689</v>
      </c>
      <c r="AF155" s="139">
        <f>IF((AF154)&gt;0,(AF154/AF153),0)</f>
        <v>0.9141138608798689</v>
      </c>
      <c r="AG155" s="49">
        <f>+SUM(AC155:AF155)</f>
        <v>1.8282277217597378</v>
      </c>
      <c r="AH155" s="139">
        <f>IF((AH154)&gt;0,(AH154/AH153),0)</f>
        <v>0.87058462940939896</v>
      </c>
      <c r="AI155" s="139">
        <f>IF((AI154)&gt;0,(AI154/AI153),0)</f>
        <v>0.87058462940939896</v>
      </c>
      <c r="AJ155" s="139">
        <f>IF((AJ154)&gt;0,(AJ154/AJ153),0)</f>
        <v>45.188551695474345</v>
      </c>
      <c r="AK155" s="139">
        <f>IF((AK154)&gt;0,(AK154/AK153),0)</f>
        <v>45.188551695474345</v>
      </c>
      <c r="AL155" s="49">
        <f>+SUM(AH155:AK155)</f>
        <v>92.118272649767491</v>
      </c>
      <c r="AM155" s="139">
        <f>IF((AM154)&gt;0,(AM154/AM153),0)</f>
        <v>2.0882893562592191</v>
      </c>
      <c r="AN155" s="139">
        <f>IF((AN154)&gt;0,(AN154/AN153),0)</f>
        <v>2.0882893562592191</v>
      </c>
      <c r="AO155" s="139">
        <f>IF((AO154)&gt;0,(AO154/AO153),0)</f>
        <v>2.0882893562592191</v>
      </c>
      <c r="AP155" s="139">
        <f>IF((AP154)&gt;0,(AP154/AP153),0)</f>
        <v>2.0882893562592191</v>
      </c>
      <c r="AQ155" s="49">
        <f>+SUM(AM155:AP155)</f>
        <v>8.3531574250368763</v>
      </c>
      <c r="AR155" s="139">
        <f>IF((AR154)&gt;0,(AR154/AR153),0)</f>
        <v>2.0473425061364892</v>
      </c>
      <c r="AS155" s="139">
        <f>IF((AS154)&gt;0,(AS154/AS153),0)</f>
        <v>2.0473425061364892</v>
      </c>
      <c r="AT155" s="139">
        <f>IF((AT154)&gt;0,(AT154/AT153),0)</f>
        <v>2.0473425061364892</v>
      </c>
      <c r="AU155" s="139">
        <f>IF((AU154)&gt;0,(AU154/AU153),0)</f>
        <v>2.0473425061364892</v>
      </c>
      <c r="AV155" s="49">
        <f>+SUM(AR155:AU155)</f>
        <v>8.1893700245459566</v>
      </c>
    </row>
    <row r="156" spans="2:48" outlineLevel="1" x14ac:dyDescent="0.3">
      <c r="B156" s="464" t="s">
        <v>131</v>
      </c>
      <c r="C156" s="465"/>
      <c r="D156" s="143">
        <v>55.58</v>
      </c>
      <c r="E156" s="144">
        <v>65.03</v>
      </c>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3">
      <c r="B157" s="460" t="s">
        <v>132</v>
      </c>
      <c r="C157" s="461"/>
      <c r="D157" s="145">
        <f>71.968334*55.58</f>
        <v>4000.0000037199998</v>
      </c>
      <c r="E157" s="146">
        <v>318.64700000000005</v>
      </c>
      <c r="F157" s="139"/>
      <c r="G157" s="139"/>
      <c r="H157" s="49"/>
      <c r="I157" s="139"/>
      <c r="J157" s="139"/>
      <c r="K157" s="139"/>
      <c r="L157" s="139"/>
      <c r="M157" s="49"/>
      <c r="N157" s="139"/>
      <c r="O157" s="139"/>
      <c r="P157" s="139"/>
      <c r="Q157" s="139"/>
      <c r="R157" s="49"/>
      <c r="S157" s="139"/>
      <c r="T157" s="139"/>
      <c r="U157" s="142"/>
      <c r="V157" s="139"/>
      <c r="W157" s="137"/>
      <c r="X157" s="139"/>
      <c r="Y157" s="139"/>
      <c r="Z157" s="139"/>
      <c r="AA157" s="139"/>
      <c r="AB157" s="49"/>
      <c r="AC157" s="139"/>
      <c r="AD157" s="139"/>
      <c r="AE157" s="139"/>
      <c r="AF157" s="139"/>
      <c r="AG157" s="49"/>
      <c r="AH157" s="139"/>
      <c r="AI157" s="139"/>
      <c r="AJ157" s="139"/>
      <c r="AK157" s="139"/>
      <c r="AL157" s="49"/>
      <c r="AM157" s="139"/>
      <c r="AN157" s="139"/>
      <c r="AO157" s="139"/>
      <c r="AP157" s="139"/>
      <c r="AQ157" s="49"/>
      <c r="AR157" s="139"/>
      <c r="AS157" s="139"/>
      <c r="AT157" s="139"/>
      <c r="AU157" s="139"/>
      <c r="AV157" s="49"/>
    </row>
    <row r="158" spans="2:48" outlineLevel="1" x14ac:dyDescent="0.3">
      <c r="B158" s="466" t="s">
        <v>133</v>
      </c>
      <c r="C158" s="467"/>
      <c r="D158" s="147">
        <f>IF((D157)&gt;0,(D157/D156),0)</f>
        <v>71.968333999999999</v>
      </c>
      <c r="E158" s="140">
        <f>IF((E157)&gt;0,(E157/E156),0)</f>
        <v>4.9000000000000004</v>
      </c>
      <c r="F158" s="140"/>
      <c r="G158" s="140"/>
      <c r="H158" s="141"/>
      <c r="I158" s="140"/>
      <c r="J158" s="140"/>
      <c r="K158" s="140"/>
      <c r="L158" s="140"/>
      <c r="M158" s="141"/>
      <c r="N158" s="140"/>
      <c r="O158" s="140"/>
      <c r="P158" s="140"/>
      <c r="Q158" s="140"/>
      <c r="R158" s="141"/>
      <c r="S158" s="140"/>
      <c r="T158" s="140"/>
      <c r="U158" s="140"/>
      <c r="V158" s="140"/>
      <c r="W158" s="199"/>
      <c r="X158" s="140"/>
      <c r="Y158" s="140"/>
      <c r="Z158" s="140"/>
      <c r="AA158" s="140"/>
      <c r="AB158" s="141"/>
      <c r="AC158" s="140"/>
      <c r="AD158" s="140"/>
      <c r="AE158" s="140"/>
      <c r="AF158" s="140"/>
      <c r="AG158" s="141"/>
      <c r="AH158" s="140"/>
      <c r="AI158" s="140"/>
      <c r="AJ158" s="140"/>
      <c r="AK158" s="140"/>
      <c r="AL158" s="141"/>
      <c r="AM158" s="140"/>
      <c r="AN158" s="140"/>
      <c r="AO158" s="140"/>
      <c r="AP158" s="140"/>
      <c r="AQ158" s="141"/>
      <c r="AR158" s="140"/>
      <c r="AS158" s="140"/>
      <c r="AT158" s="140"/>
      <c r="AU158" s="140"/>
      <c r="AV158" s="141"/>
    </row>
    <row r="159" spans="2:48" outlineLevel="1" x14ac:dyDescent="0.3">
      <c r="B159" s="200" t="s">
        <v>134</v>
      </c>
      <c r="C159" s="201"/>
      <c r="D159" s="139"/>
      <c r="E159" s="36">
        <v>71.959999999999994</v>
      </c>
      <c r="F159" s="36">
        <v>76.5</v>
      </c>
      <c r="G159" s="139"/>
      <c r="H159" s="49"/>
      <c r="I159" s="139"/>
      <c r="J159" s="139"/>
      <c r="K159" s="139"/>
      <c r="L159" s="139"/>
      <c r="M159" s="49"/>
      <c r="N159" s="139"/>
      <c r="O159" s="139"/>
      <c r="P159" s="139"/>
      <c r="Q159" s="139"/>
      <c r="R159" s="49"/>
      <c r="S159" s="139"/>
      <c r="T159" s="139"/>
      <c r="U159" s="139"/>
      <c r="V159" s="139"/>
      <c r="W159" s="49"/>
      <c r="X159" s="139"/>
      <c r="Y159" s="139"/>
      <c r="Z159" s="139"/>
      <c r="AA159" s="139"/>
      <c r="AB159" s="49"/>
      <c r="AC159" s="139"/>
      <c r="AD159" s="139"/>
      <c r="AE159" s="139"/>
      <c r="AF159" s="139"/>
      <c r="AG159" s="49"/>
      <c r="AH159" s="139"/>
      <c r="AI159" s="139"/>
      <c r="AJ159" s="139"/>
      <c r="AK159" s="139"/>
      <c r="AL159" s="49"/>
      <c r="AM159" s="139"/>
      <c r="AN159" s="139"/>
      <c r="AO159" s="139"/>
      <c r="AP159" s="139"/>
      <c r="AQ159" s="49"/>
      <c r="AR159" s="139"/>
      <c r="AS159" s="139"/>
      <c r="AT159" s="139"/>
      <c r="AU159" s="139"/>
      <c r="AV159" s="49"/>
    </row>
    <row r="160" spans="2:48" outlineLevel="1" x14ac:dyDescent="0.3">
      <c r="B160" s="200" t="s">
        <v>135</v>
      </c>
      <c r="C160" s="201"/>
      <c r="D160" s="139"/>
      <c r="E160" s="16">
        <v>1597.5119999999997</v>
      </c>
      <c r="F160" s="16">
        <v>298.35000000000002</v>
      </c>
      <c r="G160" s="139"/>
      <c r="H160" s="49"/>
      <c r="I160" s="139"/>
      <c r="J160" s="139"/>
      <c r="K160" s="139"/>
      <c r="L160" s="139"/>
      <c r="M160" s="49"/>
      <c r="N160" s="179"/>
      <c r="O160" s="139"/>
      <c r="P160" s="139"/>
      <c r="Q160" s="139"/>
      <c r="R160" s="49"/>
      <c r="S160" s="139"/>
      <c r="T160" s="139"/>
      <c r="U160" s="139"/>
      <c r="V160" s="139"/>
      <c r="W160" s="49"/>
      <c r="X160" s="139"/>
      <c r="Y160" s="139"/>
      <c r="Z160" s="139"/>
      <c r="AA160" s="139"/>
      <c r="AB160" s="49"/>
      <c r="AC160" s="139"/>
      <c r="AD160" s="139"/>
      <c r="AE160" s="139"/>
      <c r="AF160" s="139"/>
      <c r="AG160" s="49"/>
      <c r="AH160" s="139"/>
      <c r="AI160" s="139"/>
      <c r="AJ160" s="139"/>
      <c r="AK160" s="139"/>
      <c r="AL160" s="49"/>
      <c r="AM160" s="139"/>
      <c r="AN160" s="139"/>
      <c r="AO160" s="139"/>
      <c r="AP160" s="139"/>
      <c r="AQ160" s="49"/>
      <c r="AR160" s="139"/>
      <c r="AS160" s="139"/>
      <c r="AT160" s="139"/>
      <c r="AU160" s="139"/>
      <c r="AV160" s="49"/>
    </row>
    <row r="161" spans="2:48" outlineLevel="1" x14ac:dyDescent="0.3">
      <c r="B161" s="200" t="s">
        <v>136</v>
      </c>
      <c r="C161" s="201"/>
      <c r="D161" s="139"/>
      <c r="E161" s="139">
        <f>IF((E160)&gt;0,(E160/E159),0)</f>
        <v>22.2</v>
      </c>
      <c r="F161" s="139">
        <f>IF((F160)&gt;0,(F160/F159),0)</f>
        <v>3.9000000000000004</v>
      </c>
      <c r="G161" s="139"/>
      <c r="H161" s="49"/>
      <c r="I161" s="139"/>
      <c r="J161" s="139"/>
      <c r="K161" s="139"/>
      <c r="L161" s="139"/>
      <c r="M161" s="49"/>
      <c r="N161" s="139"/>
      <c r="O161" s="139"/>
      <c r="P161" s="139"/>
      <c r="Q161" s="139"/>
      <c r="R161" s="49"/>
      <c r="S161" s="139"/>
      <c r="T161" s="139"/>
      <c r="U161" s="139"/>
      <c r="V161" s="139"/>
      <c r="W161" s="49"/>
      <c r="X161" s="139"/>
      <c r="Y161" s="139"/>
      <c r="Z161" s="139"/>
      <c r="AA161" s="139"/>
      <c r="AB161" s="49"/>
      <c r="AC161" s="139"/>
      <c r="AD161" s="139"/>
      <c r="AE161" s="139"/>
      <c r="AF161" s="139"/>
      <c r="AG161" s="49"/>
      <c r="AH161" s="139"/>
      <c r="AI161" s="139"/>
      <c r="AJ161" s="139"/>
      <c r="AK161" s="139"/>
      <c r="AL161" s="49"/>
      <c r="AM161" s="139"/>
      <c r="AN161" s="139"/>
      <c r="AO161" s="139"/>
      <c r="AP161" s="139"/>
      <c r="AQ161" s="49"/>
      <c r="AR161" s="139"/>
      <c r="AS161" s="139"/>
      <c r="AT161" s="139"/>
      <c r="AU161" s="139"/>
      <c r="AV161" s="49"/>
    </row>
    <row r="162" spans="2:48" ht="17.399999999999999" x14ac:dyDescent="0.45">
      <c r="B162" s="432" t="s">
        <v>12</v>
      </c>
      <c r="C162" s="433"/>
      <c r="D162" s="14" t="s">
        <v>19</v>
      </c>
      <c r="E162" s="14" t="s">
        <v>81</v>
      </c>
      <c r="F162" s="14" t="s">
        <v>85</v>
      </c>
      <c r="G162" s="14" t="s">
        <v>95</v>
      </c>
      <c r="H162" s="40" t="s">
        <v>96</v>
      </c>
      <c r="I162" s="14" t="s">
        <v>97</v>
      </c>
      <c r="J162" s="14" t="s">
        <v>98</v>
      </c>
      <c r="K162" s="14" t="s">
        <v>99</v>
      </c>
      <c r="L162" s="14" t="s">
        <v>142</v>
      </c>
      <c r="M162" s="40" t="s">
        <v>143</v>
      </c>
      <c r="N162" s="14" t="s">
        <v>149</v>
      </c>
      <c r="O162" s="14" t="s">
        <v>157</v>
      </c>
      <c r="P162" s="14" t="s">
        <v>159</v>
      </c>
      <c r="Q162" s="14" t="s">
        <v>172</v>
      </c>
      <c r="R162" s="40" t="s">
        <v>173</v>
      </c>
      <c r="S162" s="14" t="s">
        <v>188</v>
      </c>
      <c r="T162" s="14" t="s">
        <v>189</v>
      </c>
      <c r="U162" s="14" t="s">
        <v>204</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164</v>
      </c>
      <c r="AN162" s="12" t="s">
        <v>165</v>
      </c>
      <c r="AO162" s="12" t="s">
        <v>166</v>
      </c>
      <c r="AP162" s="12" t="s">
        <v>167</v>
      </c>
      <c r="AQ162" s="42" t="s">
        <v>168</v>
      </c>
      <c r="AR162" s="12" t="s">
        <v>195</v>
      </c>
      <c r="AS162" s="12" t="s">
        <v>196</v>
      </c>
      <c r="AT162" s="12" t="s">
        <v>197</v>
      </c>
      <c r="AU162" s="12" t="s">
        <v>198</v>
      </c>
      <c r="AV162" s="42" t="s">
        <v>199</v>
      </c>
    </row>
    <row r="163" spans="2:48" outlineLevel="1" x14ac:dyDescent="0.3">
      <c r="B163" s="436" t="s">
        <v>65</v>
      </c>
      <c r="C163" s="437"/>
      <c r="D163" s="102">
        <f>-(22+5.3+0.6+20.9)</f>
        <v>-48.8</v>
      </c>
      <c r="E163" s="102">
        <v>-45.1</v>
      </c>
      <c r="F163" s="102">
        <v>-39.6</v>
      </c>
      <c r="G163" s="102">
        <f>-146.2+133.5</f>
        <v>-12.699999999999989</v>
      </c>
      <c r="H163" s="159">
        <f>SUM(D163:G163)</f>
        <v>-146.19999999999999</v>
      </c>
      <c r="I163" s="102">
        <v>-7.1</v>
      </c>
      <c r="J163" s="102">
        <v>0.1</v>
      </c>
      <c r="K163" s="105">
        <f>-K14</f>
        <v>-78.099999999999994</v>
      </c>
      <c r="L163" s="101">
        <v>-195.5</v>
      </c>
      <c r="M163" s="169"/>
      <c r="N163" s="101">
        <v>-72.2</v>
      </c>
      <c r="O163" s="101">
        <v>-23</v>
      </c>
      <c r="P163" s="101">
        <v>-19.8</v>
      </c>
      <c r="Q163" s="101">
        <v>-55.5</v>
      </c>
      <c r="R163" s="17"/>
      <c r="S163" s="16">
        <v>7.5</v>
      </c>
      <c r="T163" s="16">
        <v>-4.4000000000000004</v>
      </c>
      <c r="U163" s="16">
        <v>-14</v>
      </c>
      <c r="V163" s="33">
        <v>-50</v>
      </c>
      <c r="W163" s="17"/>
      <c r="X163" s="33">
        <v>-50</v>
      </c>
      <c r="Y163" s="33">
        <v>0</v>
      </c>
      <c r="Z163" s="33">
        <f t="shared" ref="Z163:AA163" si="622">Y163</f>
        <v>0</v>
      </c>
      <c r="AA163" s="33">
        <f t="shared" si="622"/>
        <v>0</v>
      </c>
      <c r="AB163" s="17"/>
      <c r="AC163" s="33">
        <f>AA163</f>
        <v>0</v>
      </c>
      <c r="AD163" s="33">
        <f t="shared" ref="AD163:AF163" si="623">AC163</f>
        <v>0</v>
      </c>
      <c r="AE163" s="33">
        <f t="shared" si="623"/>
        <v>0</v>
      </c>
      <c r="AF163" s="33">
        <f t="shared" si="623"/>
        <v>0</v>
      </c>
      <c r="AG163" s="17"/>
      <c r="AH163" s="33">
        <f>AF163</f>
        <v>0</v>
      </c>
      <c r="AI163" s="33">
        <f t="shared" ref="AI163:AK163" si="624">AH163</f>
        <v>0</v>
      </c>
      <c r="AJ163" s="33">
        <f t="shared" si="624"/>
        <v>0</v>
      </c>
      <c r="AK163" s="33">
        <f t="shared" si="624"/>
        <v>0</v>
      </c>
      <c r="AL163" s="17"/>
      <c r="AM163" s="33">
        <f>AK163</f>
        <v>0</v>
      </c>
      <c r="AN163" s="33">
        <f t="shared" ref="AN163:AP163" si="625">AM163</f>
        <v>0</v>
      </c>
      <c r="AO163" s="33">
        <f t="shared" si="625"/>
        <v>0</v>
      </c>
      <c r="AP163" s="33">
        <f t="shared" si="625"/>
        <v>0</v>
      </c>
      <c r="AQ163" s="17"/>
      <c r="AR163" s="33">
        <f>AP163</f>
        <v>0</v>
      </c>
      <c r="AS163" s="33">
        <f t="shared" ref="AS163:AU163" si="626">AR163</f>
        <v>0</v>
      </c>
      <c r="AT163" s="33">
        <f t="shared" si="626"/>
        <v>0</v>
      </c>
      <c r="AU163" s="33">
        <f t="shared" si="626"/>
        <v>0</v>
      </c>
      <c r="AV163" s="17"/>
    </row>
    <row r="164" spans="2:48" outlineLevel="1" x14ac:dyDescent="0.3">
      <c r="B164" s="200" t="s">
        <v>64</v>
      </c>
      <c r="C164" s="201"/>
      <c r="D164" s="102">
        <f>-(5.3+0.5)</f>
        <v>-5.8</v>
      </c>
      <c r="E164" s="102">
        <v>-4.3</v>
      </c>
      <c r="F164" s="102">
        <v>-2.2999999999999998</v>
      </c>
      <c r="G164" s="102">
        <v>-0.2</v>
      </c>
      <c r="H164" s="159">
        <f t="shared" ref="H164:H167" si="627">SUM(D164:G164)</f>
        <v>-12.599999999999998</v>
      </c>
      <c r="I164" s="102">
        <v>-5.6</v>
      </c>
      <c r="J164" s="102">
        <v>-6.8</v>
      </c>
      <c r="K164" s="105">
        <v>-35.04</v>
      </c>
      <c r="L164" s="101">
        <v>0</v>
      </c>
      <c r="M164" s="169"/>
      <c r="N164" s="101">
        <v>0</v>
      </c>
      <c r="O164" s="101">
        <v>0</v>
      </c>
      <c r="P164" s="101">
        <v>22.8</v>
      </c>
      <c r="Q164" s="101">
        <v>-0.1</v>
      </c>
      <c r="R164" s="17"/>
      <c r="S164" s="16"/>
      <c r="T164" s="16"/>
      <c r="U164" s="16"/>
      <c r="V164" s="33"/>
      <c r="W164" s="17"/>
      <c r="X164" s="33">
        <f t="shared" ref="X164:X167" si="628">V164</f>
        <v>0</v>
      </c>
      <c r="Y164" s="33"/>
      <c r="Z164" s="33"/>
      <c r="AA164" s="33"/>
      <c r="AB164" s="17"/>
      <c r="AC164" s="33">
        <f t="shared" ref="AC164:AC167" si="629">AA164</f>
        <v>0</v>
      </c>
      <c r="AD164" s="33"/>
      <c r="AE164" s="33"/>
      <c r="AF164" s="33"/>
      <c r="AG164" s="17"/>
      <c r="AH164" s="33">
        <f t="shared" ref="AH164:AH167" si="630">AF164</f>
        <v>0</v>
      </c>
      <c r="AI164" s="33"/>
      <c r="AJ164" s="33"/>
      <c r="AK164" s="33"/>
      <c r="AL164" s="17"/>
      <c r="AM164" s="33">
        <f t="shared" ref="AM164:AM167" si="631">AK164</f>
        <v>0</v>
      </c>
      <c r="AN164" s="33"/>
      <c r="AO164" s="33"/>
      <c r="AP164" s="33"/>
      <c r="AQ164" s="17"/>
      <c r="AR164" s="33">
        <f t="shared" ref="AR164:AR167" si="632">AP164</f>
        <v>0</v>
      </c>
      <c r="AS164" s="33"/>
      <c r="AT164" s="33"/>
      <c r="AU164" s="33"/>
      <c r="AV164" s="17"/>
    </row>
    <row r="165" spans="2:48" outlineLevel="1" x14ac:dyDescent="0.3">
      <c r="B165" s="436" t="s">
        <v>129</v>
      </c>
      <c r="C165" s="437"/>
      <c r="D165" s="102">
        <f>-(60.6-0.3)</f>
        <v>-60.300000000000004</v>
      </c>
      <c r="E165" s="102">
        <v>-68.2</v>
      </c>
      <c r="F165" s="102">
        <v>-69</v>
      </c>
      <c r="G165" s="102">
        <f>-262+197.5</f>
        <v>-64.5</v>
      </c>
      <c r="H165" s="159">
        <f>SUM(D165:G165)</f>
        <v>-262</v>
      </c>
      <c r="I165" s="102">
        <v>-58.9</v>
      </c>
      <c r="J165" s="102">
        <v>-60.1</v>
      </c>
      <c r="K165" s="105">
        <v>-60.54</v>
      </c>
      <c r="L165" s="101">
        <v>-64</v>
      </c>
      <c r="M165" s="169"/>
      <c r="N165" s="101">
        <v>-62.7</v>
      </c>
      <c r="O165" s="101">
        <v>-65.2</v>
      </c>
      <c r="P165" s="101">
        <v>-54.7</v>
      </c>
      <c r="Q165" s="101">
        <v>-59.6</v>
      </c>
      <c r="R165" s="17"/>
      <c r="S165" s="16">
        <f>0.1-42.8</f>
        <v>-42.699999999999996</v>
      </c>
      <c r="T165" s="16">
        <v>-43.1</v>
      </c>
      <c r="U165" s="16">
        <v>-63.5</v>
      </c>
      <c r="V165" s="33">
        <v>-64</v>
      </c>
      <c r="W165" s="17"/>
      <c r="X165" s="33">
        <f t="shared" si="628"/>
        <v>-64</v>
      </c>
      <c r="Y165" s="33">
        <f t="shared" ref="Y165:AA165" si="633">X165</f>
        <v>-64</v>
      </c>
      <c r="Z165" s="33">
        <f t="shared" si="633"/>
        <v>-64</v>
      </c>
      <c r="AA165" s="33">
        <f t="shared" si="633"/>
        <v>-64</v>
      </c>
      <c r="AB165" s="17"/>
      <c r="AC165" s="33">
        <f t="shared" si="629"/>
        <v>-64</v>
      </c>
      <c r="AD165" s="33">
        <f t="shared" ref="AD165:AF165" si="634">AC165</f>
        <v>-64</v>
      </c>
      <c r="AE165" s="33">
        <f t="shared" si="634"/>
        <v>-64</v>
      </c>
      <c r="AF165" s="33">
        <f t="shared" si="634"/>
        <v>-64</v>
      </c>
      <c r="AG165" s="17"/>
      <c r="AH165" s="33">
        <f t="shared" si="630"/>
        <v>-64</v>
      </c>
      <c r="AI165" s="33">
        <f t="shared" ref="AI165:AK165" si="635">AH165</f>
        <v>-64</v>
      </c>
      <c r="AJ165" s="33">
        <f t="shared" si="635"/>
        <v>-64</v>
      </c>
      <c r="AK165" s="33">
        <f t="shared" si="635"/>
        <v>-64</v>
      </c>
      <c r="AL165" s="17"/>
      <c r="AM165" s="33">
        <f t="shared" si="631"/>
        <v>-64</v>
      </c>
      <c r="AN165" s="33">
        <f t="shared" ref="AN165:AP165" si="636">AM165</f>
        <v>-64</v>
      </c>
      <c r="AO165" s="33">
        <f t="shared" si="636"/>
        <v>-64</v>
      </c>
      <c r="AP165" s="33">
        <f t="shared" si="636"/>
        <v>-64</v>
      </c>
      <c r="AQ165" s="17"/>
      <c r="AR165" s="33">
        <f t="shared" si="632"/>
        <v>-64</v>
      </c>
      <c r="AS165" s="33">
        <f t="shared" ref="AS165:AU165" si="637">AR165</f>
        <v>-64</v>
      </c>
      <c r="AT165" s="33">
        <f t="shared" si="637"/>
        <v>-64</v>
      </c>
      <c r="AU165" s="33">
        <f t="shared" si="637"/>
        <v>-64</v>
      </c>
      <c r="AV165" s="17"/>
    </row>
    <row r="166" spans="2:48" outlineLevel="1" x14ac:dyDescent="0.3">
      <c r="B166" s="200" t="s">
        <v>66</v>
      </c>
      <c r="C166" s="201"/>
      <c r="D166" s="102">
        <v>-23.1</v>
      </c>
      <c r="E166" s="102">
        <v>-23.8</v>
      </c>
      <c r="F166" s="102">
        <v>-14.4</v>
      </c>
      <c r="G166" s="102">
        <v>0</v>
      </c>
      <c r="H166" s="159">
        <f t="shared" si="627"/>
        <v>-61.300000000000004</v>
      </c>
      <c r="I166" s="102"/>
      <c r="J166" s="102"/>
      <c r="K166" s="101"/>
      <c r="L166" s="101"/>
      <c r="M166" s="169"/>
      <c r="N166" s="101"/>
      <c r="O166" s="101"/>
      <c r="P166" s="101"/>
      <c r="Q166" s="101"/>
      <c r="R166" s="17"/>
      <c r="S166" s="16"/>
      <c r="T166" s="16"/>
      <c r="U166" s="16"/>
      <c r="V166" s="33"/>
      <c r="W166" s="17"/>
      <c r="X166" s="33">
        <f t="shared" si="628"/>
        <v>0</v>
      </c>
      <c r="Y166" s="33"/>
      <c r="Z166" s="33"/>
      <c r="AA166" s="33"/>
      <c r="AB166" s="17"/>
      <c r="AC166" s="33">
        <f t="shared" si="629"/>
        <v>0</v>
      </c>
      <c r="AD166" s="33"/>
      <c r="AE166" s="33"/>
      <c r="AF166" s="33"/>
      <c r="AG166" s="17"/>
      <c r="AH166" s="33">
        <f t="shared" si="630"/>
        <v>0</v>
      </c>
      <c r="AI166" s="33"/>
      <c r="AJ166" s="33"/>
      <c r="AK166" s="33"/>
      <c r="AL166" s="17"/>
      <c r="AM166" s="33">
        <f t="shared" si="631"/>
        <v>0</v>
      </c>
      <c r="AN166" s="33"/>
      <c r="AO166" s="33"/>
      <c r="AP166" s="33"/>
      <c r="AQ166" s="17"/>
      <c r="AR166" s="33">
        <f t="shared" si="632"/>
        <v>0</v>
      </c>
      <c r="AS166" s="33"/>
      <c r="AT166" s="33"/>
      <c r="AU166" s="33"/>
      <c r="AV166" s="17"/>
    </row>
    <row r="167" spans="2:48" ht="16.2" outlineLevel="1" x14ac:dyDescent="0.45">
      <c r="B167" s="200" t="s">
        <v>80</v>
      </c>
      <c r="C167" s="201"/>
      <c r="D167" s="138">
        <v>0</v>
      </c>
      <c r="E167" s="138">
        <v>0</v>
      </c>
      <c r="F167" s="138">
        <v>0</v>
      </c>
      <c r="G167" s="138">
        <v>0</v>
      </c>
      <c r="H167" s="160">
        <f t="shared" si="627"/>
        <v>0</v>
      </c>
      <c r="I167" s="138">
        <v>0</v>
      </c>
      <c r="J167" s="138">
        <v>0</v>
      </c>
      <c r="K167" s="112">
        <v>0</v>
      </c>
      <c r="L167" s="112">
        <v>0</v>
      </c>
      <c r="M167" s="169"/>
      <c r="N167" s="112">
        <v>0</v>
      </c>
      <c r="O167" s="112">
        <v>0</v>
      </c>
      <c r="P167" s="112">
        <v>0</v>
      </c>
      <c r="Q167" s="112">
        <v>0</v>
      </c>
      <c r="R167" s="17"/>
      <c r="S167" s="112">
        <v>0</v>
      </c>
      <c r="T167" s="112">
        <v>0</v>
      </c>
      <c r="U167" s="112">
        <v>0</v>
      </c>
      <c r="V167" s="32">
        <v>0</v>
      </c>
      <c r="W167" s="17"/>
      <c r="X167" s="32">
        <f t="shared" si="628"/>
        <v>0</v>
      </c>
      <c r="Y167" s="32">
        <v>0</v>
      </c>
      <c r="Z167" s="32">
        <v>0</v>
      </c>
      <c r="AA167" s="32">
        <v>0</v>
      </c>
      <c r="AB167" s="17"/>
      <c r="AC167" s="32">
        <f t="shared" si="629"/>
        <v>0</v>
      </c>
      <c r="AD167" s="32">
        <v>0</v>
      </c>
      <c r="AE167" s="32">
        <v>0</v>
      </c>
      <c r="AF167" s="32">
        <v>0</v>
      </c>
      <c r="AG167" s="17"/>
      <c r="AH167" s="32">
        <f t="shared" si="630"/>
        <v>0</v>
      </c>
      <c r="AI167" s="32">
        <v>0</v>
      </c>
      <c r="AJ167" s="32">
        <v>0</v>
      </c>
      <c r="AK167" s="32">
        <v>0</v>
      </c>
      <c r="AL167" s="17"/>
      <c r="AM167" s="32">
        <f t="shared" si="631"/>
        <v>0</v>
      </c>
      <c r="AN167" s="32">
        <v>0</v>
      </c>
      <c r="AO167" s="32">
        <v>0</v>
      </c>
      <c r="AP167" s="32">
        <v>0</v>
      </c>
      <c r="AQ167" s="17"/>
      <c r="AR167" s="32">
        <f t="shared" si="632"/>
        <v>0</v>
      </c>
      <c r="AS167" s="32">
        <v>0</v>
      </c>
      <c r="AT167" s="32">
        <v>0</v>
      </c>
      <c r="AU167" s="32">
        <v>0</v>
      </c>
      <c r="AV167" s="17"/>
    </row>
    <row r="168" spans="2:48" s="8" customFormat="1" outlineLevel="1" x14ac:dyDescent="0.3">
      <c r="B168" s="205" t="s">
        <v>67</v>
      </c>
      <c r="C168" s="202"/>
      <c r="D168" s="103">
        <f t="shared" ref="D168:L168" si="638">SUM(D163:D167)</f>
        <v>-138</v>
      </c>
      <c r="E168" s="103">
        <f t="shared" si="638"/>
        <v>-141.4</v>
      </c>
      <c r="F168" s="103">
        <f t="shared" si="638"/>
        <v>-125.30000000000001</v>
      </c>
      <c r="G168" s="103">
        <f t="shared" si="638"/>
        <v>-77.399999999999991</v>
      </c>
      <c r="H168" s="171">
        <f t="shared" si="638"/>
        <v>-482.09999999999997</v>
      </c>
      <c r="I168" s="103">
        <f t="shared" si="638"/>
        <v>-71.599999999999994</v>
      </c>
      <c r="J168" s="103">
        <f t="shared" si="638"/>
        <v>-66.8</v>
      </c>
      <c r="K168" s="103">
        <f t="shared" si="638"/>
        <v>-173.67999999999998</v>
      </c>
      <c r="L168" s="103">
        <f t="shared" si="638"/>
        <v>-259.5</v>
      </c>
      <c r="M168" s="150"/>
      <c r="N168" s="103">
        <f>SUM(N163:N167)</f>
        <v>-134.9</v>
      </c>
      <c r="O168" s="103">
        <f>SUM(O163:O167)</f>
        <v>-88.2</v>
      </c>
      <c r="P168" s="103">
        <f>SUM(P163:P167)</f>
        <v>-51.7</v>
      </c>
      <c r="Q168" s="103">
        <f>SUM(Q163:Q167)</f>
        <v>-115.2</v>
      </c>
      <c r="R168" s="22"/>
      <c r="S168" s="103">
        <f>SUM(S163:S167)</f>
        <v>-35.199999999999996</v>
      </c>
      <c r="T168" s="50">
        <f>SUM(T163:T167)</f>
        <v>-47.5</v>
      </c>
      <c r="U168" s="50">
        <f>SUM(U163:U167)</f>
        <v>-77.5</v>
      </c>
      <c r="V168" s="50">
        <f>SUM(V163:V167)</f>
        <v>-114</v>
      </c>
      <c r="W168" s="22"/>
      <c r="X168" s="50">
        <f>SUM(X163:X167)</f>
        <v>-114</v>
      </c>
      <c r="Y168" s="50">
        <f>SUM(Y163:Y167)</f>
        <v>-64</v>
      </c>
      <c r="Z168" s="50">
        <f>SUM(Z163:Z167)</f>
        <v>-64</v>
      </c>
      <c r="AA168" s="50">
        <f>SUM(AA163:AA167)</f>
        <v>-64</v>
      </c>
      <c r="AB168" s="22"/>
      <c r="AC168" s="50">
        <f>SUM(AC163:AC167)</f>
        <v>-64</v>
      </c>
      <c r="AD168" s="50">
        <f>SUM(AD163:AD167)</f>
        <v>-64</v>
      </c>
      <c r="AE168" s="50">
        <f>SUM(AE163:AE167)</f>
        <v>-64</v>
      </c>
      <c r="AF168" s="50">
        <f>SUM(AF163:AF167)</f>
        <v>-64</v>
      </c>
      <c r="AG168" s="22"/>
      <c r="AH168" s="50">
        <f>SUM(AH163:AH167)</f>
        <v>-64</v>
      </c>
      <c r="AI168" s="50">
        <f>SUM(AI163:AI167)</f>
        <v>-64</v>
      </c>
      <c r="AJ168" s="50">
        <f>SUM(AJ163:AJ167)</f>
        <v>-64</v>
      </c>
      <c r="AK168" s="50">
        <f>SUM(AK163:AK167)</f>
        <v>-64</v>
      </c>
      <c r="AL168" s="22"/>
      <c r="AM168" s="50">
        <f>SUM(AM163:AM167)</f>
        <v>-64</v>
      </c>
      <c r="AN168" s="50">
        <f>SUM(AN163:AN167)</f>
        <v>-64</v>
      </c>
      <c r="AO168" s="50">
        <f>SUM(AO163:AO167)</f>
        <v>-64</v>
      </c>
      <c r="AP168" s="50">
        <f>SUM(AP163:AP167)</f>
        <v>-64</v>
      </c>
      <c r="AQ168" s="22"/>
      <c r="AR168" s="50">
        <f>SUM(AR163:AR167)</f>
        <v>-64</v>
      </c>
      <c r="AS168" s="50">
        <f>SUM(AS163:AS167)</f>
        <v>-64</v>
      </c>
      <c r="AT168" s="50">
        <f>SUM(AT163:AT167)</f>
        <v>-64</v>
      </c>
      <c r="AU168" s="50">
        <f>SUM(AU163:AU167)</f>
        <v>-64</v>
      </c>
      <c r="AV168" s="22"/>
    </row>
    <row r="169" spans="2:48" ht="16.2" outlineLevel="1" x14ac:dyDescent="0.45">
      <c r="B169" s="200" t="s">
        <v>155</v>
      </c>
      <c r="C169" s="201"/>
      <c r="D169" s="104">
        <v>0</v>
      </c>
      <c r="E169" s="104">
        <v>0</v>
      </c>
      <c r="F169" s="104">
        <v>0</v>
      </c>
      <c r="G169" s="104">
        <v>0</v>
      </c>
      <c r="H169" s="169"/>
      <c r="I169" s="104">
        <v>0</v>
      </c>
      <c r="J169" s="104">
        <v>0</v>
      </c>
      <c r="K169" s="104">
        <v>0</v>
      </c>
      <c r="L169" s="104">
        <v>0</v>
      </c>
      <c r="M169" s="169"/>
      <c r="N169" s="104">
        <v>0</v>
      </c>
      <c r="O169" s="104">
        <v>0</v>
      </c>
      <c r="P169" s="104">
        <v>0</v>
      </c>
      <c r="Q169" s="104">
        <v>0</v>
      </c>
      <c r="R169" s="17"/>
      <c r="S169" s="104">
        <v>0</v>
      </c>
      <c r="T169" s="52">
        <v>0</v>
      </c>
      <c r="U169" s="52">
        <v>0</v>
      </c>
      <c r="V169" s="52">
        <v>0</v>
      </c>
      <c r="W169" s="17"/>
      <c r="X169" s="52">
        <v>0</v>
      </c>
      <c r="Y169" s="52">
        <v>0</v>
      </c>
      <c r="Z169" s="52">
        <v>0</v>
      </c>
      <c r="AA169" s="52">
        <v>0</v>
      </c>
      <c r="AB169" s="17"/>
      <c r="AC169" s="52">
        <v>0</v>
      </c>
      <c r="AD169" s="52">
        <v>0</v>
      </c>
      <c r="AE169" s="52">
        <v>0</v>
      </c>
      <c r="AF169" s="52">
        <v>0</v>
      </c>
      <c r="AG169" s="17"/>
      <c r="AH169" s="52">
        <v>0</v>
      </c>
      <c r="AI169" s="52">
        <v>0</v>
      </c>
      <c r="AJ169" s="52">
        <v>0</v>
      </c>
      <c r="AK169" s="52">
        <v>0</v>
      </c>
      <c r="AL169" s="17"/>
      <c r="AM169" s="52">
        <v>0</v>
      </c>
      <c r="AN169" s="52">
        <v>0</v>
      </c>
      <c r="AO169" s="52">
        <v>0</v>
      </c>
      <c r="AP169" s="52">
        <v>0</v>
      </c>
      <c r="AQ169" s="17"/>
      <c r="AR169" s="52">
        <v>0</v>
      </c>
      <c r="AS169" s="52">
        <v>0</v>
      </c>
      <c r="AT169" s="52">
        <v>0</v>
      </c>
      <c r="AU169" s="52">
        <v>0</v>
      </c>
      <c r="AV169" s="17"/>
    </row>
    <row r="170" spans="2:48" s="8" customFormat="1" outlineLevel="1" x14ac:dyDescent="0.3">
      <c r="B170" s="205" t="s">
        <v>68</v>
      </c>
      <c r="C170" s="202"/>
      <c r="D170" s="103">
        <f t="shared" ref="D170:G170" si="639">-D168+D169</f>
        <v>138</v>
      </c>
      <c r="E170" s="103">
        <f t="shared" si="639"/>
        <v>141.4</v>
      </c>
      <c r="F170" s="103">
        <f t="shared" si="639"/>
        <v>125.30000000000001</v>
      </c>
      <c r="G170" s="103">
        <f t="shared" si="639"/>
        <v>77.399999999999991</v>
      </c>
      <c r="H170" s="150"/>
      <c r="I170" s="103">
        <f t="shared" ref="I170:L170" si="640">-I168+I169</f>
        <v>71.599999999999994</v>
      </c>
      <c r="J170" s="103">
        <f t="shared" si="640"/>
        <v>66.8</v>
      </c>
      <c r="K170" s="103">
        <f t="shared" si="640"/>
        <v>173.67999999999998</v>
      </c>
      <c r="L170" s="103">
        <f t="shared" si="640"/>
        <v>259.5</v>
      </c>
      <c r="M170" s="150"/>
      <c r="N170" s="103">
        <f t="shared" ref="N170:P170" si="641">-N168+N169</f>
        <v>134.9</v>
      </c>
      <c r="O170" s="103">
        <f t="shared" si="641"/>
        <v>88.2</v>
      </c>
      <c r="P170" s="103">
        <f t="shared" si="641"/>
        <v>51.7</v>
      </c>
      <c r="Q170" s="103">
        <f>-Q168+Q169</f>
        <v>115.2</v>
      </c>
      <c r="R170" s="22"/>
      <c r="S170" s="103">
        <f t="shared" ref="S170:V170" si="642">-S168+S169</f>
        <v>35.199999999999996</v>
      </c>
      <c r="T170" s="50">
        <f t="shared" si="642"/>
        <v>47.5</v>
      </c>
      <c r="U170" s="50">
        <f t="shared" si="642"/>
        <v>77.5</v>
      </c>
      <c r="V170" s="50">
        <f t="shared" si="642"/>
        <v>114</v>
      </c>
      <c r="W170" s="22"/>
      <c r="X170" s="50">
        <f t="shared" ref="X170:AA170" si="643">-X168+X169</f>
        <v>114</v>
      </c>
      <c r="Y170" s="50">
        <f t="shared" si="643"/>
        <v>64</v>
      </c>
      <c r="Z170" s="50">
        <f t="shared" si="643"/>
        <v>64</v>
      </c>
      <c r="AA170" s="50">
        <f t="shared" si="643"/>
        <v>64</v>
      </c>
      <c r="AB170" s="22"/>
      <c r="AC170" s="50">
        <f t="shared" ref="AC170:AF170" si="644">-AC168+AC169</f>
        <v>64</v>
      </c>
      <c r="AD170" s="50">
        <f t="shared" si="644"/>
        <v>64</v>
      </c>
      <c r="AE170" s="50">
        <f t="shared" si="644"/>
        <v>64</v>
      </c>
      <c r="AF170" s="50">
        <f t="shared" si="644"/>
        <v>64</v>
      </c>
      <c r="AG170" s="22"/>
      <c r="AH170" s="50">
        <f t="shared" ref="AH170:AK170" si="645">-AH168+AH169</f>
        <v>64</v>
      </c>
      <c r="AI170" s="50">
        <f t="shared" si="645"/>
        <v>64</v>
      </c>
      <c r="AJ170" s="50">
        <f t="shared" si="645"/>
        <v>64</v>
      </c>
      <c r="AK170" s="50">
        <f t="shared" si="645"/>
        <v>64</v>
      </c>
      <c r="AL170" s="22"/>
      <c r="AM170" s="50">
        <f t="shared" ref="AM170:AP170" si="646">-AM168+AM169</f>
        <v>64</v>
      </c>
      <c r="AN170" s="50">
        <f t="shared" si="646"/>
        <v>64</v>
      </c>
      <c r="AO170" s="50">
        <f t="shared" si="646"/>
        <v>64</v>
      </c>
      <c r="AP170" s="50">
        <f t="shared" si="646"/>
        <v>64</v>
      </c>
      <c r="AQ170" s="22"/>
      <c r="AR170" s="50">
        <f t="shared" ref="AR170:AU170" si="647">-AR168+AR169</f>
        <v>64</v>
      </c>
      <c r="AS170" s="50">
        <f t="shared" si="647"/>
        <v>64</v>
      </c>
      <c r="AT170" s="50">
        <f t="shared" si="647"/>
        <v>64</v>
      </c>
      <c r="AU170" s="50">
        <f t="shared" si="647"/>
        <v>64</v>
      </c>
      <c r="AV170" s="22"/>
    </row>
    <row r="171" spans="2:48" outlineLevel="1" x14ac:dyDescent="0.3">
      <c r="B171" s="200" t="s">
        <v>69</v>
      </c>
      <c r="C171" s="201"/>
      <c r="D171" s="105">
        <v>0</v>
      </c>
      <c r="E171" s="101">
        <f>-0.02*E31</f>
        <v>-25.014000000000003</v>
      </c>
      <c r="F171" s="101">
        <f>0.49*F31</f>
        <v>599.27</v>
      </c>
      <c r="G171" s="101">
        <v>0</v>
      </c>
      <c r="H171" s="169"/>
      <c r="I171" s="101">
        <v>0</v>
      </c>
      <c r="J171" s="101">
        <v>0</v>
      </c>
      <c r="K171" s="101">
        <v>0</v>
      </c>
      <c r="L171" s="101">
        <v>0</v>
      </c>
      <c r="M171" s="169"/>
      <c r="N171" s="101">
        <v>0</v>
      </c>
      <c r="O171" s="101">
        <v>0</v>
      </c>
      <c r="P171" s="101">
        <v>0</v>
      </c>
      <c r="Q171" s="101">
        <f>0.73*Q31</f>
        <v>867.16700000000003</v>
      </c>
      <c r="R171" s="17"/>
      <c r="S171" s="101">
        <v>0</v>
      </c>
      <c r="T171" s="101">
        <f>0.03*T31</f>
        <v>34.617000000000004</v>
      </c>
      <c r="U171" s="101">
        <v>0</v>
      </c>
      <c r="V171" s="33">
        <v>0</v>
      </c>
      <c r="W171" s="17"/>
      <c r="X171" s="33">
        <v>0</v>
      </c>
      <c r="Y171" s="33">
        <v>0</v>
      </c>
      <c r="Z171" s="33">
        <v>0</v>
      </c>
      <c r="AA171" s="33">
        <v>0</v>
      </c>
      <c r="AB171" s="17"/>
      <c r="AC171" s="33">
        <v>0</v>
      </c>
      <c r="AD171" s="33">
        <v>0</v>
      </c>
      <c r="AE171" s="33">
        <v>0</v>
      </c>
      <c r="AF171" s="33">
        <v>0</v>
      </c>
      <c r="AG171" s="17"/>
      <c r="AH171" s="33">
        <v>0</v>
      </c>
      <c r="AI171" s="33">
        <v>0</v>
      </c>
      <c r="AJ171" s="33">
        <v>0</v>
      </c>
      <c r="AK171" s="33">
        <v>0</v>
      </c>
      <c r="AL171" s="17"/>
      <c r="AM171" s="33">
        <v>0</v>
      </c>
      <c r="AN171" s="33">
        <v>0</v>
      </c>
      <c r="AO171" s="33">
        <v>0</v>
      </c>
      <c r="AP171" s="33">
        <v>0</v>
      </c>
      <c r="AQ171" s="17"/>
      <c r="AR171" s="33">
        <v>0</v>
      </c>
      <c r="AS171" s="33">
        <v>0</v>
      </c>
      <c r="AT171" s="33">
        <v>0</v>
      </c>
      <c r="AU171" s="33">
        <v>0</v>
      </c>
      <c r="AV171" s="17"/>
    </row>
    <row r="172" spans="2:48" outlineLevel="1" x14ac:dyDescent="0.3">
      <c r="B172" s="436" t="s">
        <v>75</v>
      </c>
      <c r="C172" s="437"/>
      <c r="D172" s="105">
        <v>-41.449999999998646</v>
      </c>
      <c r="E172" s="101">
        <v>79.193999999999548</v>
      </c>
      <c r="F172" s="101">
        <v>-55.109999999999197</v>
      </c>
      <c r="G172" s="101">
        <v>30</v>
      </c>
      <c r="H172" s="169"/>
      <c r="I172" s="101">
        <v>11</v>
      </c>
      <c r="J172" s="101">
        <v>23</v>
      </c>
      <c r="K172" s="101">
        <f>0.03*K31</f>
        <v>35.055</v>
      </c>
      <c r="L172" s="101">
        <v>50.810000000000372</v>
      </c>
      <c r="M172" s="169"/>
      <c r="N172" s="101">
        <f>0.03*N31</f>
        <v>35.49</v>
      </c>
      <c r="O172" s="101">
        <f>0.01*O31</f>
        <v>11.847999999999999</v>
      </c>
      <c r="P172" s="101">
        <f>0.01*P31</f>
        <v>11.862</v>
      </c>
      <c r="Q172" s="101">
        <f>-0.144*Q31</f>
        <v>-171.05760000000001</v>
      </c>
      <c r="R172" s="17"/>
      <c r="S172" s="101">
        <v>3.9480000000003299</v>
      </c>
      <c r="T172" s="16">
        <f>0.01*T31</f>
        <v>11.539000000000001</v>
      </c>
      <c r="U172" s="16">
        <f>0.02*U31</f>
        <v>23.02</v>
      </c>
      <c r="V172" s="16">
        <f t="shared" ref="V172" si="648">+V170*V173</f>
        <v>33.861677419354834</v>
      </c>
      <c r="W172" s="17"/>
      <c r="X172" s="16">
        <f>+X170*X173</f>
        <v>33.861677419354834</v>
      </c>
      <c r="Y172" s="16">
        <f>+Y170*Y173</f>
        <v>19.010064516129031</v>
      </c>
      <c r="Z172" s="16">
        <f t="shared" ref="Z172:AA172" si="649">+Z170*Z173</f>
        <v>19.010064516129031</v>
      </c>
      <c r="AA172" s="16">
        <f t="shared" si="649"/>
        <v>19.010064516129031</v>
      </c>
      <c r="AB172" s="17"/>
      <c r="AC172" s="16">
        <f>+AC170*AC173</f>
        <v>19.010064516129031</v>
      </c>
      <c r="AD172" s="16">
        <f>+AD170*AD173</f>
        <v>19.010064516129031</v>
      </c>
      <c r="AE172" s="16">
        <f t="shared" ref="AE172:AF172" si="650">+AE170*AE173</f>
        <v>19.010064516129031</v>
      </c>
      <c r="AF172" s="16">
        <f t="shared" si="650"/>
        <v>19.010064516129031</v>
      </c>
      <c r="AG172" s="17"/>
      <c r="AH172" s="16">
        <f>+AH170*AH173</f>
        <v>19.010064516129031</v>
      </c>
      <c r="AI172" s="16">
        <f>+AI170*AI173</f>
        <v>19.010064516129031</v>
      </c>
      <c r="AJ172" s="16">
        <f t="shared" ref="AJ172:AK172" si="651">+AJ170*AJ173</f>
        <v>19.010064516129031</v>
      </c>
      <c r="AK172" s="16">
        <f t="shared" si="651"/>
        <v>19.010064516129031</v>
      </c>
      <c r="AL172" s="17"/>
      <c r="AM172" s="16">
        <f>+AM170*AM173</f>
        <v>19.010064516129031</v>
      </c>
      <c r="AN172" s="16">
        <f>+AN170*AN173</f>
        <v>19.010064516129031</v>
      </c>
      <c r="AO172" s="16">
        <f t="shared" ref="AO172:AP172" si="652">+AO170*AO173</f>
        <v>19.010064516129031</v>
      </c>
      <c r="AP172" s="16">
        <f t="shared" si="652"/>
        <v>19.010064516129031</v>
      </c>
      <c r="AQ172" s="17"/>
      <c r="AR172" s="16">
        <f>+AR170*AR173</f>
        <v>19.010064516129031</v>
      </c>
      <c r="AS172" s="16">
        <f>+AS170*AS173</f>
        <v>19.010064516129031</v>
      </c>
      <c r="AT172" s="16">
        <f t="shared" ref="AT172:AU172" si="653">+AT170*AT173</f>
        <v>19.010064516129031</v>
      </c>
      <c r="AU172" s="16">
        <f t="shared" si="653"/>
        <v>19.010064516129031</v>
      </c>
      <c r="AV172" s="17"/>
    </row>
    <row r="173" spans="2:48" outlineLevel="1" x14ac:dyDescent="0.3">
      <c r="B173" s="203" t="s">
        <v>76</v>
      </c>
      <c r="C173" s="204"/>
      <c r="D173" s="211">
        <f t="shared" ref="D173:G173" si="654">D172/D170</f>
        <v>-0.30036231884056991</v>
      </c>
      <c r="E173" s="211">
        <f t="shared" si="654"/>
        <v>0.56007072135784686</v>
      </c>
      <c r="F173" s="211">
        <f t="shared" si="654"/>
        <v>-0.43982442138866074</v>
      </c>
      <c r="G173" s="211">
        <f t="shared" si="654"/>
        <v>0.38759689922480622</v>
      </c>
      <c r="H173" s="212"/>
      <c r="I173" s="211">
        <f t="shared" ref="I173:U173" si="655">I172/I170</f>
        <v>0.15363128491620112</v>
      </c>
      <c r="J173" s="211">
        <f t="shared" si="655"/>
        <v>0.34431137724550898</v>
      </c>
      <c r="K173" s="211">
        <f t="shared" si="655"/>
        <v>0.20183671119299865</v>
      </c>
      <c r="L173" s="211">
        <f t="shared" si="655"/>
        <v>0.1957996146435467</v>
      </c>
      <c r="M173" s="212"/>
      <c r="N173" s="211">
        <f t="shared" si="655"/>
        <v>0.26308376575240922</v>
      </c>
      <c r="O173" s="211">
        <f t="shared" si="655"/>
        <v>0.13433106575963719</v>
      </c>
      <c r="P173" s="211">
        <f t="shared" si="655"/>
        <v>0.22943907156673113</v>
      </c>
      <c r="Q173" s="211">
        <f t="shared" si="655"/>
        <v>-1.4848749999999999</v>
      </c>
      <c r="R173" s="37"/>
      <c r="S173" s="211">
        <f t="shared" si="655"/>
        <v>0.1121590909091003</v>
      </c>
      <c r="T173" s="211">
        <f t="shared" si="655"/>
        <v>0.24292631578947371</v>
      </c>
      <c r="U173" s="211">
        <f t="shared" si="655"/>
        <v>0.29703225806451611</v>
      </c>
      <c r="V173" s="94">
        <f>U173</f>
        <v>0.29703225806451611</v>
      </c>
      <c r="W173" s="37"/>
      <c r="X173" s="94">
        <f>V173</f>
        <v>0.29703225806451611</v>
      </c>
      <c r="Y173" s="94">
        <f>X173</f>
        <v>0.29703225806451611</v>
      </c>
      <c r="Z173" s="94">
        <f>Y173</f>
        <v>0.29703225806451611</v>
      </c>
      <c r="AA173" s="94">
        <f>Z173</f>
        <v>0.29703225806451611</v>
      </c>
      <c r="AB173" s="37"/>
      <c r="AC173" s="94">
        <f>AA173</f>
        <v>0.29703225806451611</v>
      </c>
      <c r="AD173" s="94">
        <f>AC173</f>
        <v>0.29703225806451611</v>
      </c>
      <c r="AE173" s="94">
        <f>AD173</f>
        <v>0.29703225806451611</v>
      </c>
      <c r="AF173" s="94">
        <f>AE173</f>
        <v>0.29703225806451611</v>
      </c>
      <c r="AG173" s="37"/>
      <c r="AH173" s="94">
        <f>AF173</f>
        <v>0.29703225806451611</v>
      </c>
      <c r="AI173" s="94">
        <f>AH173</f>
        <v>0.29703225806451611</v>
      </c>
      <c r="AJ173" s="94">
        <f>AI173</f>
        <v>0.29703225806451611</v>
      </c>
      <c r="AK173" s="94">
        <f>AJ173</f>
        <v>0.29703225806451611</v>
      </c>
      <c r="AL173" s="37"/>
      <c r="AM173" s="94">
        <f>AK173</f>
        <v>0.29703225806451611</v>
      </c>
      <c r="AN173" s="94">
        <f>AM173</f>
        <v>0.29703225806451611</v>
      </c>
      <c r="AO173" s="94">
        <f>AN173</f>
        <v>0.29703225806451611</v>
      </c>
      <c r="AP173" s="94">
        <f>AO173</f>
        <v>0.29703225806451611</v>
      </c>
      <c r="AQ173" s="37"/>
      <c r="AR173" s="94">
        <f>AP173</f>
        <v>0.29703225806451611</v>
      </c>
      <c r="AS173" s="94">
        <f>AR173</f>
        <v>0.29703225806451611</v>
      </c>
      <c r="AT173" s="94">
        <f>AS173</f>
        <v>0.29703225806451611</v>
      </c>
      <c r="AU173" s="94">
        <f>AT173</f>
        <v>0.29703225806451611</v>
      </c>
      <c r="AV173" s="37"/>
    </row>
    <row r="175" spans="2:48" x14ac:dyDescent="0.3">
      <c r="B175" s="382" t="s">
        <v>315</v>
      </c>
      <c r="Q175" s="383">
        <f>Q61-L61</f>
        <v>-6.6118692968142323E-4</v>
      </c>
      <c r="R175" s="383"/>
      <c r="S175" s="383">
        <f>S61-N61</f>
        <v>1.2901737440265071E-2</v>
      </c>
      <c r="T175" s="383">
        <f t="shared" ref="T175" si="656">T61-O61</f>
        <v>2.4025383293040548E-2</v>
      </c>
      <c r="U175" s="383">
        <f>U61-P61</f>
        <v>2.0536242149533701E-2</v>
      </c>
      <c r="V175" s="383">
        <f>V61-Q61</f>
        <v>1.2500000000000011E-2</v>
      </c>
      <c r="W175" s="383"/>
      <c r="X175" s="383">
        <f t="shared" ref="X175:AA175" si="657">X61-S61</f>
        <v>5.0000000000000044E-3</v>
      </c>
      <c r="Y175" s="383">
        <f t="shared" si="657"/>
        <v>2.5000000000000022E-3</v>
      </c>
      <c r="Z175" s="383">
        <f t="shared" si="657"/>
        <v>2.5000000000000022E-3</v>
      </c>
      <c r="AA175" s="383">
        <f t="shared" si="657"/>
        <v>-1.0000000000000009E-2</v>
      </c>
      <c r="AB175" s="383"/>
      <c r="AC175" s="383">
        <f t="shared" ref="AC175" si="658">AC61-X61</f>
        <v>-1.0000000000000009E-2</v>
      </c>
      <c r="AD175" s="383">
        <f t="shared" ref="AD175" si="659">AD61-Y61</f>
        <v>-1.0000000000000009E-3</v>
      </c>
      <c r="AE175" s="383">
        <f t="shared" ref="AE175" si="660">AE61-Z61</f>
        <v>-1.0000000000000009E-3</v>
      </c>
      <c r="AF175" s="383">
        <f t="shared" ref="AF175" si="661">AF61-AA61</f>
        <v>1.0000000000000009E-2</v>
      </c>
      <c r="AH175" s="383">
        <f t="shared" ref="AH175" si="662">AH61-AC61</f>
        <v>-1.0000000000000009E-3</v>
      </c>
      <c r="AI175" s="383">
        <f t="shared" ref="AI175" si="663">AI61-AD61</f>
        <v>-1.0000000000000009E-3</v>
      </c>
      <c r="AJ175" s="383">
        <f t="shared" ref="AJ175" si="664">AJ61-AE61</f>
        <v>-1.0000000000000009E-3</v>
      </c>
      <c r="AK175" s="383">
        <f t="shared" ref="AK175" si="665">AK61-AF61</f>
        <v>-1.0000000000000009E-3</v>
      </c>
    </row>
    <row r="176" spans="2:48" ht="14.55" customHeight="1" x14ac:dyDescent="0.3">
      <c r="B176" s="382" t="s">
        <v>316</v>
      </c>
      <c r="Q176" s="383">
        <f t="shared" ref="Q176:T176" si="666">Q63-L63</f>
        <v>-4.2476929877535707E-2</v>
      </c>
      <c r="R176" s="383"/>
      <c r="S176" s="383">
        <f t="shared" si="666"/>
        <v>-4.2111802490401029E-3</v>
      </c>
      <c r="T176" s="383">
        <f t="shared" si="666"/>
        <v>1.5713963584189306E-2</v>
      </c>
      <c r="U176" s="383">
        <f>U63-P63</f>
        <v>8.2485911822535729E-3</v>
      </c>
      <c r="V176" s="383">
        <f>V63-Q63</f>
        <v>1.2499999999999956E-2</v>
      </c>
      <c r="W176" s="383"/>
      <c r="X176" s="383">
        <f t="shared" ref="X176:AA176" si="667">X63-S63</f>
        <v>5.0000000000000044E-3</v>
      </c>
      <c r="Y176" s="383">
        <f>Y63-T63</f>
        <v>2.4999999999999467E-3</v>
      </c>
      <c r="Z176" s="383">
        <f t="shared" si="667"/>
        <v>1.0000000000000009E-2</v>
      </c>
      <c r="AA176" s="383">
        <f t="shared" si="667"/>
        <v>0</v>
      </c>
      <c r="AB176" s="383"/>
      <c r="AC176" s="383">
        <f t="shared" ref="AC176" si="668">AC63-X63</f>
        <v>-1.0000000000000009E-2</v>
      </c>
      <c r="AD176" s="383">
        <f t="shared" ref="AD176" si="669">AD63-Y63</f>
        <v>-1.0000000000000009E-3</v>
      </c>
      <c r="AE176" s="383">
        <f t="shared" ref="AE176" si="670">AE63-Z63</f>
        <v>-1.0000000000000009E-3</v>
      </c>
      <c r="AF176" s="383">
        <f t="shared" ref="AF176" si="671">AF63-AA63</f>
        <v>1.0000000000000009E-2</v>
      </c>
      <c r="AH176" s="383">
        <f t="shared" ref="AH176" si="672">AH63-AC63</f>
        <v>-1.0000000000000009E-3</v>
      </c>
      <c r="AI176" s="383">
        <f t="shared" ref="AI176" si="673">AI63-AD63</f>
        <v>-1.0000000000000009E-3</v>
      </c>
      <c r="AJ176" s="383">
        <f t="shared" ref="AJ176" si="674">AJ63-AE63</f>
        <v>-1.0000000000000009E-3</v>
      </c>
      <c r="AK176" s="383">
        <f t="shared" ref="AK176" si="675">AK63-AF63</f>
        <v>-1.0000000000000009E-3</v>
      </c>
    </row>
    <row r="177" spans="1:48" ht="14.55" customHeight="1" x14ac:dyDescent="0.3">
      <c r="B177" s="382" t="s">
        <v>317</v>
      </c>
      <c r="Q177" s="383">
        <f t="shared" ref="Q177:T177" si="676">Q65-L65</f>
        <v>-8.1024370824473238E-4</v>
      </c>
      <c r="R177" s="383"/>
      <c r="S177" s="383">
        <f t="shared" si="676"/>
        <v>-6.9169487840035036E-4</v>
      </c>
      <c r="T177" s="383">
        <f t="shared" si="676"/>
        <v>-3.3352357784197616E-4</v>
      </c>
      <c r="U177" s="383">
        <f>U65-P65</f>
        <v>1.7928850972594532E-3</v>
      </c>
      <c r="V177" s="383">
        <f t="shared" ref="V177:AA177" si="677">V65-Q65</f>
        <v>7.9246920006940773E-4</v>
      </c>
      <c r="W177" s="383"/>
      <c r="X177" s="383">
        <f t="shared" si="677"/>
        <v>0</v>
      </c>
      <c r="Y177" s="383">
        <f t="shared" si="677"/>
        <v>0</v>
      </c>
      <c r="Z177" s="383">
        <f t="shared" si="677"/>
        <v>0</v>
      </c>
      <c r="AA177" s="383">
        <f t="shared" si="677"/>
        <v>0</v>
      </c>
      <c r="AB177" s="383"/>
      <c r="AC177" s="383">
        <f t="shared" ref="AC177" si="678">AC65-X65</f>
        <v>0</v>
      </c>
      <c r="AD177" s="383">
        <f t="shared" ref="AD177" si="679">AD65-Y65</f>
        <v>0</v>
      </c>
      <c r="AE177" s="383">
        <f t="shared" ref="AE177" si="680">AE65-Z65</f>
        <v>0</v>
      </c>
      <c r="AF177" s="383">
        <f t="shared" ref="AF177" si="681">AF65-AA65</f>
        <v>0</v>
      </c>
      <c r="AH177" s="383">
        <f t="shared" ref="AH177" si="682">AH65-AC65</f>
        <v>0</v>
      </c>
      <c r="AI177" s="383">
        <f t="shared" ref="AI177" si="683">AI65-AD65</f>
        <v>0</v>
      </c>
      <c r="AJ177" s="383">
        <f t="shared" ref="AJ177" si="684">AJ65-AE65</f>
        <v>0</v>
      </c>
      <c r="AK177" s="383">
        <f t="shared" ref="AK177" si="685">AK65-AF65</f>
        <v>0</v>
      </c>
    </row>
    <row r="178" spans="1:48" ht="14.55" customHeight="1" x14ac:dyDescent="0.3">
      <c r="A178" s="161"/>
      <c r="B178" s="382" t="s">
        <v>318</v>
      </c>
      <c r="Q178" s="383">
        <f t="shared" ref="Q178:T178" si="686">Q68-L68</f>
        <v>-1.8685768961161399E-3</v>
      </c>
      <c r="R178" s="383"/>
      <c r="S178" s="383">
        <f t="shared" si="686"/>
        <v>-1.673261995123904E-3</v>
      </c>
      <c r="T178" s="383">
        <f t="shared" si="686"/>
        <v>-3.5644778537942175E-3</v>
      </c>
      <c r="U178" s="383">
        <f>U68-P68</f>
        <v>-9.2770624793186637E-4</v>
      </c>
      <c r="V178" s="383">
        <f t="shared" ref="V178:AA178" si="687">V68-Q68</f>
        <v>1.2500000000000002E-2</v>
      </c>
      <c r="W178" s="383"/>
      <c r="X178" s="383">
        <f t="shared" si="687"/>
        <v>4.9999999999999992E-3</v>
      </c>
      <c r="Y178" s="383">
        <f t="shared" si="687"/>
        <v>2.5000000000000005E-3</v>
      </c>
      <c r="Z178" s="383">
        <f t="shared" si="687"/>
        <v>2.5000000000000005E-3</v>
      </c>
      <c r="AA178" s="383">
        <f t="shared" si="687"/>
        <v>-1.0000000000000002E-2</v>
      </c>
      <c r="AB178" s="383"/>
      <c r="AC178" s="383">
        <f t="shared" ref="AC178" si="688">AC68-X68</f>
        <v>-2.9999999999999992E-3</v>
      </c>
      <c r="AD178" s="383">
        <f t="shared" ref="AD178" si="689">AD68-Y68</f>
        <v>2.0000000000000018E-3</v>
      </c>
      <c r="AE178" s="383">
        <f t="shared" ref="AE178" si="690">AE68-Z68</f>
        <v>-9.9999999999999915E-4</v>
      </c>
      <c r="AF178" s="383">
        <f t="shared" ref="AF178" si="691">AF68-AA68</f>
        <v>-1.0000000000000009E-3</v>
      </c>
      <c r="AH178" s="383">
        <f t="shared" ref="AH178" si="692">AH68-AC68</f>
        <v>-1.0000000000000009E-3</v>
      </c>
      <c r="AI178" s="383">
        <f t="shared" ref="AI178" si="693">AI68-AD68</f>
        <v>-1.0000000000000009E-3</v>
      </c>
      <c r="AJ178" s="383">
        <f t="shared" ref="AJ178" si="694">AJ68-AE68</f>
        <v>-1.0000000000000009E-3</v>
      </c>
      <c r="AK178" s="383">
        <f t="shared" ref="AK178" si="695">AK68-AF68</f>
        <v>-1.0000000000000009E-3</v>
      </c>
    </row>
    <row r="179" spans="1:48" s="23" customFormat="1" ht="14.55" customHeight="1" x14ac:dyDescent="0.3">
      <c r="A179" s="161"/>
    </row>
    <row r="180" spans="1:48" s="23" customFormat="1" ht="14.55" customHeight="1" x14ac:dyDescent="0.3">
      <c r="A180" s="161"/>
      <c r="B180" s="382" t="s">
        <v>319</v>
      </c>
      <c r="Q180" s="384">
        <f t="shared" ref="Q180:U180" si="696">Q94-L94</f>
        <v>-1.0328853878240896E-3</v>
      </c>
      <c r="R180" s="384"/>
      <c r="S180" s="384">
        <f t="shared" si="696"/>
        <v>1.3694957380178618E-2</v>
      </c>
      <c r="T180" s="384">
        <f t="shared" si="696"/>
        <v>2.2223284472510374E-2</v>
      </c>
      <c r="U180" s="384">
        <f t="shared" si="696"/>
        <v>4.4737654429502782E-2</v>
      </c>
      <c r="V180" s="384">
        <f>V94-Q94</f>
        <v>2.9999999999999971E-2</v>
      </c>
      <c r="W180" s="384"/>
      <c r="X180" s="384">
        <f t="shared" ref="X180:AA180" si="697">X94-S94</f>
        <v>2.0000000000000018E-2</v>
      </c>
      <c r="Y180" s="384">
        <f t="shared" si="697"/>
        <v>-1.0000000000000009E-2</v>
      </c>
      <c r="Z180" s="384">
        <f t="shared" si="697"/>
        <v>-5.0000000000000044E-3</v>
      </c>
      <c r="AA180" s="384">
        <f t="shared" si="697"/>
        <v>-5.0000000000000044E-3</v>
      </c>
      <c r="AB180" s="384"/>
      <c r="AC180" s="384">
        <f t="shared" ref="AC180" si="698">AC94-X94</f>
        <v>-2.0000000000000018E-2</v>
      </c>
      <c r="AD180" s="384">
        <f t="shared" ref="AD180" si="699">AD94-Y94</f>
        <v>-2.0000000000000018E-2</v>
      </c>
      <c r="AE180" s="384">
        <f t="shared" ref="AE180" si="700">AE94-Z94</f>
        <v>0</v>
      </c>
      <c r="AF180" s="384">
        <f t="shared" ref="AF180" si="701">AF94-AA94</f>
        <v>0</v>
      </c>
      <c r="AG180" s="384"/>
      <c r="AH180" s="384">
        <f t="shared" ref="AH180" si="702">AH94-AC94</f>
        <v>-2.0000000000000018E-3</v>
      </c>
      <c r="AI180" s="384">
        <f t="shared" ref="AI180" si="703">AI94-AD94</f>
        <v>-2.0000000000000018E-3</v>
      </c>
      <c r="AJ180" s="384">
        <f t="shared" ref="AJ180" si="704">AJ94-AE94</f>
        <v>-1.0000000000000009E-2</v>
      </c>
      <c r="AK180" s="384">
        <f t="shared" ref="AK180" si="705">AK94-AF94</f>
        <v>-2.0000000000000018E-3</v>
      </c>
      <c r="AL180" s="384"/>
      <c r="AM180" s="384">
        <f t="shared" ref="AM180" si="706">AM94-AH94</f>
        <v>0</v>
      </c>
      <c r="AN180" s="384">
        <f t="shared" ref="AN180" si="707">AN94-AI94</f>
        <v>0</v>
      </c>
      <c r="AO180" s="384">
        <f t="shared" ref="AO180" si="708">AO94-AJ94</f>
        <v>0</v>
      </c>
      <c r="AP180" s="384">
        <f t="shared" ref="AP180" si="709">AP94-AK94</f>
        <v>0</v>
      </c>
      <c r="AQ180" s="384"/>
      <c r="AR180" s="384">
        <f t="shared" ref="AR180" si="710">AR94-AM94</f>
        <v>0</v>
      </c>
      <c r="AS180" s="384">
        <f t="shared" ref="AS180" si="711">AS94-AN94</f>
        <v>0</v>
      </c>
      <c r="AT180" s="384">
        <f t="shared" ref="AT180" si="712">AT94-AO94</f>
        <v>0</v>
      </c>
      <c r="AU180" s="384">
        <f t="shared" ref="AU180" si="713">AU94-AP94</f>
        <v>0</v>
      </c>
    </row>
    <row r="181" spans="1:48" ht="16.2" customHeight="1" x14ac:dyDescent="0.3">
      <c r="A181" s="161"/>
      <c r="B181" s="382" t="s">
        <v>320</v>
      </c>
      <c r="Q181" s="384">
        <f t="shared" ref="Q181:U181" si="714">Q96-L96</f>
        <v>-4.3229689278334871E-2</v>
      </c>
      <c r="R181" s="384"/>
      <c r="S181" s="384">
        <f t="shared" si="714"/>
        <v>2.6563781125539754E-2</v>
      </c>
      <c r="T181" s="384">
        <f t="shared" si="714"/>
        <v>6.6354626897605851E-2</v>
      </c>
      <c r="U181" s="384">
        <f t="shared" si="714"/>
        <v>0.11154167548484295</v>
      </c>
      <c r="V181" s="384">
        <f>V96-Q96</f>
        <v>4.9999999999999989E-2</v>
      </c>
      <c r="W181" s="384"/>
      <c r="X181" s="384">
        <f t="shared" ref="X181:AA181" si="715">X96-S96</f>
        <v>2.0000000000000018E-2</v>
      </c>
      <c r="Y181" s="384">
        <f t="shared" si="715"/>
        <v>-1.0000000000000009E-2</v>
      </c>
      <c r="Z181" s="384">
        <f t="shared" si="715"/>
        <v>-5.0000000000000044E-3</v>
      </c>
      <c r="AA181" s="384">
        <f t="shared" si="715"/>
        <v>-5.0000000000000044E-3</v>
      </c>
      <c r="AB181" s="384"/>
      <c r="AC181" s="384">
        <f t="shared" ref="AC181" si="716">AC96-X96</f>
        <v>0</v>
      </c>
      <c r="AD181" s="384">
        <f t="shared" ref="AD181" si="717">AD96-Y96</f>
        <v>-2.0000000000000018E-2</v>
      </c>
      <c r="AE181" s="384">
        <f t="shared" ref="AE181" si="718">AE96-Z96</f>
        <v>0</v>
      </c>
      <c r="AF181" s="384">
        <f t="shared" ref="AF181" si="719">AF96-AA96</f>
        <v>0</v>
      </c>
      <c r="AG181" s="384"/>
      <c r="AH181" s="384">
        <f t="shared" ref="AH181" si="720">AH96-AC96</f>
        <v>-2.0000000000000018E-3</v>
      </c>
      <c r="AI181" s="384">
        <f t="shared" ref="AI181" si="721">AI96-AD96</f>
        <v>-2.0000000000000018E-3</v>
      </c>
      <c r="AJ181" s="384">
        <f t="shared" ref="AJ181" si="722">AJ96-AE96</f>
        <v>-2.0000000000000018E-2</v>
      </c>
      <c r="AK181" s="384">
        <f t="shared" ref="AK181" si="723">AK96-AF96</f>
        <v>-2.0000000000000018E-3</v>
      </c>
      <c r="AL181" s="384"/>
      <c r="AM181" s="384">
        <f t="shared" ref="AM181" si="724">AM96-AH96</f>
        <v>0</v>
      </c>
      <c r="AN181" s="384">
        <f t="shared" ref="AN181" si="725">AN96-AI96</f>
        <v>0</v>
      </c>
      <c r="AO181" s="384">
        <f t="shared" ref="AO181" si="726">AO96-AJ96</f>
        <v>0</v>
      </c>
      <c r="AP181" s="384">
        <f t="shared" ref="AP181" si="727">AP96-AK96</f>
        <v>0</v>
      </c>
      <c r="AQ181" s="384"/>
      <c r="AR181" s="384">
        <f t="shared" ref="AR181" si="728">AR96-AM96</f>
        <v>0</v>
      </c>
      <c r="AS181" s="384">
        <f t="shared" ref="AS181" si="729">AS96-AN96</f>
        <v>0</v>
      </c>
      <c r="AT181" s="384">
        <f t="shared" ref="AT181" si="730">AT96-AO96</f>
        <v>0</v>
      </c>
      <c r="AU181" s="384">
        <f t="shared" ref="AU181" si="731">AU96-AP96</f>
        <v>0</v>
      </c>
    </row>
    <row r="182" spans="1:48" ht="14.55" customHeight="1" x14ac:dyDescent="0.3">
      <c r="A182" s="161"/>
      <c r="B182" s="382" t="s">
        <v>321</v>
      </c>
      <c r="Q182" s="384">
        <f t="shared" ref="Q182:U182" si="732">Q98-L98</f>
        <v>-5.6134797444197491E-3</v>
      </c>
      <c r="R182" s="384"/>
      <c r="S182" s="384">
        <f t="shared" si="732"/>
        <v>1.6279115038060621E-4</v>
      </c>
      <c r="T182" s="384">
        <f t="shared" si="732"/>
        <v>5.0139473649204631E-3</v>
      </c>
      <c r="U182" s="384">
        <f t="shared" si="732"/>
        <v>1.4893713799812251E-2</v>
      </c>
      <c r="V182" s="384">
        <f>V98-Q98</f>
        <v>0</v>
      </c>
      <c r="W182" s="384"/>
      <c r="X182" s="384">
        <f t="shared" ref="X182:AA182" si="733">X98-S98</f>
        <v>0</v>
      </c>
      <c r="Y182" s="384">
        <f t="shared" si="733"/>
        <v>0</v>
      </c>
      <c r="Z182" s="384">
        <f t="shared" si="733"/>
        <v>-4.9999999999999975E-3</v>
      </c>
      <c r="AA182" s="384">
        <f t="shared" si="733"/>
        <v>0</v>
      </c>
      <c r="AB182" s="384"/>
      <c r="AC182" s="384">
        <f t="shared" ref="AC182" si="734">AC98-X98</f>
        <v>0</v>
      </c>
      <c r="AD182" s="384">
        <f t="shared" ref="AD182" si="735">AD98-Y98</f>
        <v>0</v>
      </c>
      <c r="AE182" s="384">
        <f t="shared" ref="AE182" si="736">AE98-Z98</f>
        <v>-5.000000000000001E-3</v>
      </c>
      <c r="AF182" s="384">
        <f t="shared" ref="AF182" si="737">AF98-AA98</f>
        <v>0</v>
      </c>
      <c r="AG182" s="384"/>
      <c r="AH182" s="384">
        <f t="shared" ref="AH182" si="738">AH98-AC98</f>
        <v>-1.9999999999999983E-3</v>
      </c>
      <c r="AI182" s="384">
        <f t="shared" ref="AI182" si="739">AI98-AD98</f>
        <v>-2.0000000000000018E-3</v>
      </c>
      <c r="AJ182" s="384">
        <f t="shared" ref="AJ182" si="740">AJ98-AE98</f>
        <v>-6.0000000000000019E-3</v>
      </c>
      <c r="AK182" s="384">
        <f t="shared" ref="AK182" si="741">AK98-AF98</f>
        <v>-1.9999999999999983E-3</v>
      </c>
      <c r="AL182" s="384"/>
      <c r="AM182" s="384">
        <f t="shared" ref="AM182" si="742">AM98-AH98</f>
        <v>0</v>
      </c>
      <c r="AN182" s="384">
        <f t="shared" ref="AN182" si="743">AN98-AI98</f>
        <v>0</v>
      </c>
      <c r="AO182" s="384">
        <f t="shared" ref="AO182" si="744">AO98-AJ98</f>
        <v>0</v>
      </c>
      <c r="AP182" s="384">
        <f t="shared" ref="AP182" si="745">AP98-AK98</f>
        <v>0</v>
      </c>
      <c r="AQ182" s="384"/>
      <c r="AR182" s="384">
        <f t="shared" ref="AR182" si="746">AR98-AM98</f>
        <v>0</v>
      </c>
      <c r="AS182" s="384">
        <f t="shared" ref="AS182" si="747">AS98-AN98</f>
        <v>0</v>
      </c>
      <c r="AT182" s="384">
        <f t="shared" ref="AT182" si="748">AT98-AO98</f>
        <v>0</v>
      </c>
      <c r="AU182" s="384">
        <f t="shared" ref="AU182" si="749">AU98-AP98</f>
        <v>0</v>
      </c>
    </row>
    <row r="183" spans="1:48" ht="14.55" customHeight="1" x14ac:dyDescent="0.3">
      <c r="A183" s="161"/>
      <c r="B183" s="382" t="s">
        <v>322</v>
      </c>
      <c r="Q183" s="384">
        <f t="shared" ref="Q183:U183" si="750">Q101-L101</f>
        <v>-4.5175814670814843E-3</v>
      </c>
      <c r="R183" s="384"/>
      <c r="S183" s="384">
        <f t="shared" si="750"/>
        <v>-1.2605124458150846E-3</v>
      </c>
      <c r="T183" s="384">
        <f t="shared" si="750"/>
        <v>-2.780006809811171E-3</v>
      </c>
      <c r="U183" s="384">
        <f t="shared" si="750"/>
        <v>-4.0374511378418465E-3</v>
      </c>
      <c r="V183" s="384">
        <f>V101-Q101</f>
        <v>0</v>
      </c>
      <c r="W183" s="384"/>
      <c r="X183" s="384">
        <f t="shared" ref="X183:AA183" si="751">X101-S101</f>
        <v>0</v>
      </c>
      <c r="Y183" s="384">
        <f t="shared" si="751"/>
        <v>0</v>
      </c>
      <c r="Z183" s="384">
        <f t="shared" si="751"/>
        <v>-4.9999999999999975E-3</v>
      </c>
      <c r="AA183" s="384">
        <f t="shared" si="751"/>
        <v>-4.9999999999999975E-3</v>
      </c>
      <c r="AB183" s="384"/>
      <c r="AC183" s="384">
        <f t="shared" ref="AC183" si="752">AC101-X101</f>
        <v>-3.0000000000000027E-3</v>
      </c>
      <c r="AD183" s="384">
        <f t="shared" ref="AD183" si="753">AD101-Y101</f>
        <v>0</v>
      </c>
      <c r="AE183" s="384">
        <f t="shared" ref="AE183" si="754">AE101-Z101</f>
        <v>0</v>
      </c>
      <c r="AF183" s="384">
        <f t="shared" ref="AF183" si="755">AF101-AA101</f>
        <v>0</v>
      </c>
      <c r="AG183" s="384"/>
      <c r="AH183" s="384">
        <f t="shared" ref="AH183" si="756">AH101-AC101</f>
        <v>-2.0000000000000018E-3</v>
      </c>
      <c r="AI183" s="384">
        <f t="shared" ref="AI183" si="757">AI101-AD101</f>
        <v>-2.0000000000000018E-3</v>
      </c>
      <c r="AJ183" s="384">
        <f t="shared" ref="AJ183" si="758">AJ101-AE101</f>
        <v>-2.0000000000000018E-3</v>
      </c>
      <c r="AK183" s="384">
        <f t="shared" ref="AK183" si="759">AK101-AF101</f>
        <v>-2.0000000000000018E-3</v>
      </c>
      <c r="AL183" s="384"/>
      <c r="AM183" s="384">
        <f t="shared" ref="AM183" si="760">AM101-AH101</f>
        <v>0</v>
      </c>
      <c r="AN183" s="384">
        <f t="shared" ref="AN183" si="761">AN101-AI101</f>
        <v>0</v>
      </c>
      <c r="AO183" s="384">
        <f t="shared" ref="AO183" si="762">AO101-AJ101</f>
        <v>0</v>
      </c>
      <c r="AP183" s="384">
        <f t="shared" ref="AP183" si="763">AP101-AK101</f>
        <v>0</v>
      </c>
      <c r="AQ183" s="384"/>
      <c r="AR183" s="384">
        <f t="shared" ref="AR183" si="764">AR101-AM101</f>
        <v>0</v>
      </c>
      <c r="AS183" s="384">
        <f t="shared" ref="AS183" si="765">AS101-AN101</f>
        <v>0</v>
      </c>
      <c r="AT183" s="384">
        <f t="shared" ref="AT183" si="766">AT101-AO101</f>
        <v>0</v>
      </c>
      <c r="AU183" s="384">
        <f t="shared" ref="AU183" si="767">AU101-AP101</f>
        <v>0</v>
      </c>
    </row>
    <row r="184" spans="1:48" ht="14.55" customHeight="1" x14ac:dyDescent="0.3">
      <c r="A184" s="161"/>
    </row>
    <row r="185" spans="1:48" s="8" customFormat="1" x14ac:dyDescent="0.3">
      <c r="A185" s="161"/>
      <c r="B185" s="382" t="s">
        <v>323</v>
      </c>
      <c r="Q185" s="384">
        <f t="shared" ref="Q185:T185" si="768">Q111-L111</f>
        <v>-7.3337522717080939E-2</v>
      </c>
      <c r="R185" s="384"/>
      <c r="S185" s="384">
        <f t="shared" si="768"/>
        <v>-8.2275015567009335E-3</v>
      </c>
      <c r="T185" s="384">
        <f t="shared" si="768"/>
        <v>2.1961732903702735E-2</v>
      </c>
      <c r="U185" s="384">
        <f>U111-P111</f>
        <v>3.1106851202291286E-2</v>
      </c>
      <c r="V185" s="384">
        <f t="shared" ref="V185:AU185" si="769">V111-Q111</f>
        <v>3.0000000000000027E-2</v>
      </c>
      <c r="W185" s="384"/>
      <c r="X185" s="384">
        <f t="shared" si="769"/>
        <v>1.5000000000000013E-2</v>
      </c>
      <c r="Y185" s="384">
        <f t="shared" si="769"/>
        <v>0</v>
      </c>
      <c r="Z185" s="384">
        <f t="shared" si="769"/>
        <v>-5.0000000000000044E-3</v>
      </c>
      <c r="AA185" s="384">
        <f t="shared" si="769"/>
        <v>-3.0000000000000027E-2</v>
      </c>
      <c r="AB185" s="384"/>
      <c r="AC185" s="384">
        <f t="shared" si="769"/>
        <v>0</v>
      </c>
      <c r="AD185" s="384">
        <f t="shared" si="769"/>
        <v>0</v>
      </c>
      <c r="AE185" s="384">
        <f t="shared" si="769"/>
        <v>-2.0000000000000018E-2</v>
      </c>
      <c r="AF185" s="384">
        <f t="shared" si="769"/>
        <v>0</v>
      </c>
      <c r="AG185" s="384"/>
      <c r="AH185" s="384">
        <f t="shared" si="769"/>
        <v>0</v>
      </c>
      <c r="AI185" s="384">
        <f t="shared" si="769"/>
        <v>0</v>
      </c>
      <c r="AJ185" s="384">
        <f t="shared" si="769"/>
        <v>-1.0000000000000009E-2</v>
      </c>
      <c r="AK185" s="384">
        <f t="shared" si="769"/>
        <v>0</v>
      </c>
      <c r="AL185" s="384"/>
      <c r="AM185" s="384">
        <f t="shared" si="769"/>
        <v>0</v>
      </c>
      <c r="AN185" s="384">
        <f t="shared" si="769"/>
        <v>0</v>
      </c>
      <c r="AO185" s="384">
        <f t="shared" si="769"/>
        <v>0</v>
      </c>
      <c r="AP185" s="384">
        <f t="shared" si="769"/>
        <v>0</v>
      </c>
      <c r="AQ185" s="384"/>
      <c r="AR185" s="384">
        <f t="shared" si="769"/>
        <v>0</v>
      </c>
      <c r="AS185" s="384">
        <f t="shared" si="769"/>
        <v>0</v>
      </c>
      <c r="AT185" s="384">
        <f t="shared" si="769"/>
        <v>0</v>
      </c>
      <c r="AU185" s="384">
        <f t="shared" si="769"/>
        <v>0</v>
      </c>
    </row>
    <row r="186" spans="1:48" s="8" customFormat="1" x14ac:dyDescent="0.3">
      <c r="A186" s="161"/>
      <c r="B186" s="382" t="s">
        <v>324</v>
      </c>
      <c r="Q186" s="384">
        <f t="shared" ref="Q186:T186" si="770">Q113-L113</f>
        <v>-1.0844701708009816E-3</v>
      </c>
      <c r="R186" s="384"/>
      <c r="S186" s="384">
        <f t="shared" si="770"/>
        <v>-2.5553392161973866E-3</v>
      </c>
      <c r="T186" s="384">
        <f t="shared" si="770"/>
        <v>-1.2309816148434665E-2</v>
      </c>
      <c r="U186" s="384">
        <f>U113-P113</f>
        <v>5.2264096219557514E-2</v>
      </c>
      <c r="V186" s="384">
        <f t="shared" ref="V186:AU186" si="771">V113-Q113</f>
        <v>0.04</v>
      </c>
      <c r="W186" s="384"/>
      <c r="X186" s="384">
        <f t="shared" si="771"/>
        <v>0.02</v>
      </c>
      <c r="Y186" s="384">
        <f t="shared" si="771"/>
        <v>0</v>
      </c>
      <c r="Z186" s="384">
        <f t="shared" si="771"/>
        <v>-5.000000000000001E-3</v>
      </c>
      <c r="AA186" s="384">
        <f t="shared" si="771"/>
        <v>-0.03</v>
      </c>
      <c r="AB186" s="384"/>
      <c r="AC186" s="384">
        <f t="shared" si="771"/>
        <v>-0.02</v>
      </c>
      <c r="AD186" s="384">
        <f t="shared" si="771"/>
        <v>0</v>
      </c>
      <c r="AE186" s="384">
        <f t="shared" si="771"/>
        <v>0</v>
      </c>
      <c r="AF186" s="384">
        <f t="shared" si="771"/>
        <v>-0.02</v>
      </c>
      <c r="AG186" s="384"/>
      <c r="AH186" s="384">
        <f t="shared" si="771"/>
        <v>-2.9999999999999992E-3</v>
      </c>
      <c r="AI186" s="384">
        <f t="shared" si="771"/>
        <v>0</v>
      </c>
      <c r="AJ186" s="384">
        <f t="shared" si="771"/>
        <v>0</v>
      </c>
      <c r="AK186" s="384">
        <f t="shared" si="771"/>
        <v>-4.0000000000000001E-3</v>
      </c>
      <c r="AL186" s="384"/>
      <c r="AM186" s="384">
        <f t="shared" si="771"/>
        <v>0</v>
      </c>
      <c r="AN186" s="384">
        <f t="shared" si="771"/>
        <v>0</v>
      </c>
      <c r="AO186" s="384">
        <f t="shared" si="771"/>
        <v>0</v>
      </c>
      <c r="AP186" s="384">
        <f t="shared" si="771"/>
        <v>0</v>
      </c>
      <c r="AQ186" s="384"/>
      <c r="AR186" s="384">
        <f t="shared" si="771"/>
        <v>0</v>
      </c>
      <c r="AS186" s="384">
        <f t="shared" si="771"/>
        <v>0</v>
      </c>
      <c r="AT186" s="384">
        <f t="shared" si="771"/>
        <v>0</v>
      </c>
      <c r="AU186" s="384">
        <f t="shared" si="771"/>
        <v>0</v>
      </c>
    </row>
    <row r="187" spans="1:48" s="8" customFormat="1" x14ac:dyDescent="0.3">
      <c r="A187" s="161"/>
      <c r="B187" s="382" t="s">
        <v>325</v>
      </c>
      <c r="Q187" s="384">
        <f t="shared" ref="Q187:T187" si="772">Q116-L116</f>
        <v>2.3693128623915273E-3</v>
      </c>
      <c r="R187" s="384"/>
      <c r="S187" s="384">
        <f t="shared" si="772"/>
        <v>1.9882391779431439E-3</v>
      </c>
      <c r="T187" s="384">
        <f t="shared" si="772"/>
        <v>-8.1949465585923805E-4</v>
      </c>
      <c r="U187" s="384">
        <f>U116-P116</f>
        <v>-2.2101675866256984E-3</v>
      </c>
      <c r="V187" s="384">
        <f t="shared" ref="V187:AU187" si="773">V116-Q116</f>
        <v>0</v>
      </c>
      <c r="W187" s="384"/>
      <c r="X187" s="384">
        <f t="shared" si="773"/>
        <v>0</v>
      </c>
      <c r="Y187" s="384">
        <f t="shared" si="773"/>
        <v>0</v>
      </c>
      <c r="Z187" s="384">
        <f t="shared" si="773"/>
        <v>0</v>
      </c>
      <c r="AA187" s="384">
        <f t="shared" si="773"/>
        <v>0</v>
      </c>
      <c r="AB187" s="384"/>
      <c r="AC187" s="384">
        <f t="shared" si="773"/>
        <v>0</v>
      </c>
      <c r="AD187" s="384">
        <f t="shared" si="773"/>
        <v>0</v>
      </c>
      <c r="AE187" s="384">
        <f t="shared" si="773"/>
        <v>0</v>
      </c>
      <c r="AF187" s="384">
        <f t="shared" si="773"/>
        <v>0</v>
      </c>
      <c r="AG187" s="384"/>
      <c r="AH187" s="384">
        <f t="shared" si="773"/>
        <v>0</v>
      </c>
      <c r="AI187" s="384">
        <f t="shared" si="773"/>
        <v>0</v>
      </c>
      <c r="AJ187" s="384">
        <f t="shared" si="773"/>
        <v>0</v>
      </c>
      <c r="AK187" s="384">
        <f t="shared" si="773"/>
        <v>0</v>
      </c>
      <c r="AL187" s="384"/>
      <c r="AM187" s="384">
        <f t="shared" si="773"/>
        <v>0</v>
      </c>
      <c r="AN187" s="384">
        <f t="shared" si="773"/>
        <v>0</v>
      </c>
      <c r="AO187" s="384">
        <f t="shared" si="773"/>
        <v>0</v>
      </c>
      <c r="AP187" s="384">
        <f t="shared" si="773"/>
        <v>0</v>
      </c>
      <c r="AQ187" s="384"/>
      <c r="AR187" s="384">
        <f t="shared" si="773"/>
        <v>0</v>
      </c>
      <c r="AS187" s="384">
        <f t="shared" si="773"/>
        <v>0</v>
      </c>
      <c r="AT187" s="384">
        <f t="shared" si="773"/>
        <v>0</v>
      </c>
      <c r="AU187" s="384">
        <f t="shared" si="773"/>
        <v>0</v>
      </c>
    </row>
    <row r="188" spans="1:48" s="8" customFormat="1" x14ac:dyDescent="0.3">
      <c r="A188" s="161"/>
    </row>
    <row r="189" spans="1:48" s="8" customFormat="1" x14ac:dyDescent="0.3">
      <c r="A189" s="161"/>
    </row>
    <row r="190" spans="1:48" x14ac:dyDescent="0.3">
      <c r="A190" s="161"/>
    </row>
    <row r="191" spans="1:48" x14ac:dyDescent="0.3">
      <c r="A191" s="161"/>
    </row>
    <row r="192" spans="1:48" x14ac:dyDescent="0.3">
      <c r="A192" s="161"/>
      <c r="AC192" s="50"/>
      <c r="AD192" s="50"/>
      <c r="AE192" s="50"/>
      <c r="AF192" s="50"/>
      <c r="AG192" s="51"/>
      <c r="AH192" s="50"/>
      <c r="AI192" s="50"/>
      <c r="AJ192" s="50"/>
      <c r="AK192" s="50"/>
      <c r="AL192" s="51"/>
      <c r="AM192" s="50"/>
      <c r="AN192" s="50"/>
      <c r="AO192" s="50"/>
      <c r="AP192" s="50"/>
      <c r="AQ192" s="51"/>
      <c r="AR192" s="50"/>
      <c r="AS192" s="50"/>
      <c r="AT192" s="50"/>
      <c r="AU192" s="50"/>
      <c r="AV192" s="51"/>
    </row>
    <row r="193" spans="1:48" s="23" customFormat="1" x14ac:dyDescent="0.3">
      <c r="A193" s="161"/>
      <c r="AC193" s="429"/>
      <c r="AD193" s="429"/>
      <c r="AE193" s="429"/>
      <c r="AF193" s="429"/>
      <c r="AG193" s="429"/>
      <c r="AH193" s="429"/>
      <c r="AI193" s="429"/>
      <c r="AJ193" s="429"/>
      <c r="AK193" s="429"/>
      <c r="AL193" s="429"/>
      <c r="AM193" s="429"/>
      <c r="AN193" s="429"/>
      <c r="AO193" s="429"/>
      <c r="AP193" s="429"/>
      <c r="AQ193" s="429"/>
      <c r="AR193" s="429"/>
      <c r="AS193" s="429"/>
      <c r="AT193" s="429"/>
      <c r="AU193" s="429"/>
      <c r="AV193" s="429"/>
    </row>
    <row r="194" spans="1:48" x14ac:dyDescent="0.3">
      <c r="A194" s="161"/>
      <c r="AC194" s="430"/>
      <c r="AD194" s="430"/>
      <c r="AE194" s="430"/>
      <c r="AF194" s="430"/>
      <c r="AG194" s="430"/>
      <c r="AH194" s="430"/>
      <c r="AI194" s="430"/>
      <c r="AJ194" s="430"/>
      <c r="AK194" s="430"/>
      <c r="AL194" s="430"/>
      <c r="AM194" s="430"/>
      <c r="AN194" s="430"/>
      <c r="AO194" s="430"/>
      <c r="AP194" s="430"/>
      <c r="AQ194" s="430"/>
      <c r="AR194" s="430"/>
      <c r="AS194" s="430"/>
      <c r="AT194" s="430"/>
      <c r="AU194" s="430"/>
      <c r="AV194" s="430"/>
    </row>
    <row r="195" spans="1:48" x14ac:dyDescent="0.3">
      <c r="A195" s="161"/>
      <c r="AE195" s="1"/>
      <c r="AF195" s="1"/>
      <c r="AG195" s="1"/>
      <c r="AJ195" s="1"/>
      <c r="AK195" s="1"/>
      <c r="AL195" s="1"/>
      <c r="AO195" s="1"/>
      <c r="AP195" s="1"/>
      <c r="AQ195" s="1"/>
      <c r="AT195" s="1"/>
      <c r="AU195" s="1"/>
      <c r="AV195" s="1"/>
    </row>
    <row r="196" spans="1:48" x14ac:dyDescent="0.3">
      <c r="A196" s="161"/>
    </row>
    <row r="197" spans="1:48" x14ac:dyDescent="0.3">
      <c r="A197" s="161"/>
    </row>
    <row r="198" spans="1:48" x14ac:dyDescent="0.3">
      <c r="A198" s="161"/>
    </row>
    <row r="199" spans="1:48" x14ac:dyDescent="0.3">
      <c r="A199" s="161"/>
    </row>
    <row r="200" spans="1:48" x14ac:dyDescent="0.3">
      <c r="A200" s="161"/>
    </row>
    <row r="201" spans="1:48" x14ac:dyDescent="0.3">
      <c r="A201" s="161"/>
    </row>
    <row r="202" spans="1:48" x14ac:dyDescent="0.3">
      <c r="A202" s="161"/>
    </row>
    <row r="203" spans="1:48" x14ac:dyDescent="0.3">
      <c r="A203" s="161"/>
    </row>
    <row r="204" spans="1:48" x14ac:dyDescent="0.3">
      <c r="A204" s="161"/>
    </row>
    <row r="205" spans="1:48" ht="15.75" customHeight="1" x14ac:dyDescent="0.3">
      <c r="A205" s="161"/>
    </row>
    <row r="206" spans="1:48" x14ac:dyDescent="0.3">
      <c r="A206" s="161"/>
    </row>
    <row r="219" s="23" customFormat="1" x14ac:dyDescent="0.3"/>
    <row r="221" s="23" customFormat="1" x14ac:dyDescent="0.3"/>
    <row r="222" s="23" customFormat="1" x14ac:dyDescent="0.3"/>
    <row r="223" s="23" customFormat="1" x14ac:dyDescent="0.3"/>
    <row r="224" s="23" customFormat="1" x14ac:dyDescent="0.3"/>
    <row r="225" spans="2:7" s="23" customFormat="1" x14ac:dyDescent="0.3"/>
    <row r="226" spans="2:7" s="23" customFormat="1" x14ac:dyDescent="0.3"/>
    <row r="227" spans="2:7" s="23" customFormat="1" x14ac:dyDescent="0.3"/>
    <row r="228" spans="2:7" s="23" customFormat="1" x14ac:dyDescent="0.3"/>
    <row r="230" spans="2:7" x14ac:dyDescent="0.3">
      <c r="B230" s="7"/>
      <c r="C230" s="7"/>
      <c r="D230" s="4"/>
      <c r="E230" s="4"/>
      <c r="F230" s="4"/>
      <c r="G230" s="4"/>
    </row>
    <row r="270" s="23" customFormat="1" x14ac:dyDescent="0.3"/>
    <row r="271" s="23" customFormat="1" x14ac:dyDescent="0.3"/>
    <row r="272" s="23" customFormat="1" x14ac:dyDescent="0.3"/>
    <row r="281" spans="4:48" s="23" customFormat="1" x14ac:dyDescent="0.3"/>
    <row r="282" spans="4:48" s="23" customFormat="1" x14ac:dyDescent="0.3"/>
    <row r="283" spans="4:48" s="23" customFormat="1" x14ac:dyDescent="0.3"/>
    <row r="285" spans="4:48" s="63" customFormat="1" x14ac:dyDescent="0.3"/>
    <row r="286" spans="4:48" x14ac:dyDescent="0.3">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3">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3">
      <c r="D288" s="164"/>
    </row>
    <row r="289" spans="4:48" x14ac:dyDescent="0.3">
      <c r="D289" s="164"/>
    </row>
    <row r="290" spans="4:48" x14ac:dyDescent="0.3">
      <c r="D290" s="164"/>
    </row>
    <row r="291" spans="4:48" x14ac:dyDescent="0.3">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3"/>
    <row r="295" spans="4:48" x14ac:dyDescent="0.3">
      <c r="D295" s="163"/>
    </row>
    <row r="296" spans="4:48" x14ac:dyDescent="0.3">
      <c r="D296" s="164"/>
    </row>
    <row r="297" spans="4:48" x14ac:dyDescent="0.3">
      <c r="D297" s="164"/>
    </row>
    <row r="298" spans="4:48" x14ac:dyDescent="0.3">
      <c r="D298" s="164"/>
    </row>
    <row r="299" spans="4:48" x14ac:dyDescent="0.3">
      <c r="D299" s="164"/>
    </row>
    <row r="300" spans="4:48" x14ac:dyDescent="0.3">
      <c r="D300" s="164"/>
    </row>
    <row r="301" spans="4:48" x14ac:dyDescent="0.3">
      <c r="D301" s="164"/>
    </row>
    <row r="302" spans="4:48" x14ac:dyDescent="0.3">
      <c r="D302" s="164"/>
    </row>
    <row r="303" spans="4:48" x14ac:dyDescent="0.3">
      <c r="D303" s="164"/>
    </row>
    <row r="304" spans="4:48" x14ac:dyDescent="0.3">
      <c r="D304" s="164"/>
    </row>
    <row r="305" spans="4:4" x14ac:dyDescent="0.3">
      <c r="D305" s="164"/>
    </row>
    <row r="306" spans="4:4" x14ac:dyDescent="0.3">
      <c r="D306" s="164"/>
    </row>
    <row r="307" spans="4:4" x14ac:dyDescent="0.3">
      <c r="D307" s="164"/>
    </row>
    <row r="308" spans="4:4" x14ac:dyDescent="0.3">
      <c r="D308" s="164"/>
    </row>
    <row r="309" spans="4:4" x14ac:dyDescent="0.3">
      <c r="D309" s="164"/>
    </row>
    <row r="310" spans="4:4" x14ac:dyDescent="0.3">
      <c r="D310" s="164"/>
    </row>
    <row r="311" spans="4:4" x14ac:dyDescent="0.3">
      <c r="D311" s="164"/>
    </row>
    <row r="312" spans="4:4" x14ac:dyDescent="0.3">
      <c r="D312" s="164"/>
    </row>
    <row r="313" spans="4:4" x14ac:dyDescent="0.3">
      <c r="D313" s="164"/>
    </row>
    <row r="314" spans="4:4" x14ac:dyDescent="0.3">
      <c r="D314" s="164"/>
    </row>
    <row r="315" spans="4:4" x14ac:dyDescent="0.3">
      <c r="D315" s="164"/>
    </row>
    <row r="316" spans="4:4" x14ac:dyDescent="0.3">
      <c r="D316" s="164"/>
    </row>
  </sheetData>
  <dataConsolidate/>
  <mergeCells count="61">
    <mergeCell ref="B162:C162"/>
    <mergeCell ref="B163:C163"/>
    <mergeCell ref="B165:C165"/>
    <mergeCell ref="B172:C172"/>
    <mergeCell ref="B158:C158"/>
    <mergeCell ref="B155:C155"/>
    <mergeCell ref="B156:C156"/>
    <mergeCell ref="B143:C143"/>
    <mergeCell ref="B144:C144"/>
    <mergeCell ref="B145:C145"/>
    <mergeCell ref="B150:C150"/>
    <mergeCell ref="B151:C151"/>
    <mergeCell ref="B157:C157"/>
    <mergeCell ref="B142:C142"/>
    <mergeCell ref="B93:C93"/>
    <mergeCell ref="B107:C107"/>
    <mergeCell ref="B108:C108"/>
    <mergeCell ref="B110:C110"/>
    <mergeCell ref="B122:C122"/>
    <mergeCell ref="B123:C123"/>
    <mergeCell ref="B125:C125"/>
    <mergeCell ref="B132:C132"/>
    <mergeCell ref="B138:C138"/>
    <mergeCell ref="B140:C140"/>
    <mergeCell ref="B141:C141"/>
    <mergeCell ref="B152:C152"/>
    <mergeCell ref="B153:C153"/>
    <mergeCell ref="B154:C154"/>
    <mergeCell ref="B92:C92"/>
    <mergeCell ref="B50:C50"/>
    <mergeCell ref="B54:C54"/>
    <mergeCell ref="B55:C55"/>
    <mergeCell ref="B59:C59"/>
    <mergeCell ref="B60:C60"/>
    <mergeCell ref="B73:C73"/>
    <mergeCell ref="B74:C74"/>
    <mergeCell ref="B78:C78"/>
    <mergeCell ref="B83:C83"/>
    <mergeCell ref="B87:C87"/>
    <mergeCell ref="B88:C88"/>
    <mergeCell ref="B7:C7"/>
    <mergeCell ref="B8:C8"/>
    <mergeCell ref="B9:C9"/>
    <mergeCell ref="B16:C16"/>
    <mergeCell ref="B45:C45"/>
    <mergeCell ref="B23:C23"/>
    <mergeCell ref="B24:C24"/>
    <mergeCell ref="B25:C25"/>
    <mergeCell ref="B30:C30"/>
    <mergeCell ref="B31:C31"/>
    <mergeCell ref="B32:C32"/>
    <mergeCell ref="B33:C33"/>
    <mergeCell ref="B38:C38"/>
    <mergeCell ref="B39:C39"/>
    <mergeCell ref="B40:C40"/>
    <mergeCell ref="B41:C41"/>
    <mergeCell ref="A3:A4"/>
    <mergeCell ref="B3:C3"/>
    <mergeCell ref="B4:C4"/>
    <mergeCell ref="B5:C5"/>
    <mergeCell ref="B6:C6"/>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ignoredErrors>
    <ignoredError sqref="W90 W92"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4A56-0293-4141-A4E6-7E533B32DA9A}">
  <sheetPr>
    <pageSetUpPr fitToPage="1"/>
  </sheetPr>
  <dimension ref="A1:AV67"/>
  <sheetViews>
    <sheetView showGridLines="0" zoomScaleNormal="100" workbookViewId="0">
      <pane xSplit="3" ySplit="5" topLeftCell="U6" activePane="bottomRight" state="frozen"/>
      <selection pane="topRight" activeCell="D1" sqref="D1"/>
      <selection pane="bottomLeft" activeCell="A6" sqref="A6"/>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0"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37" t="s">
        <v>210</v>
      </c>
      <c r="D1" s="45"/>
      <c r="E1" s="149"/>
      <c r="F1" s="149"/>
      <c r="G1" s="149"/>
      <c r="H1" s="149"/>
      <c r="I1" s="216"/>
      <c r="J1" s="216"/>
      <c r="K1" s="216"/>
      <c r="L1" s="216"/>
      <c r="M1" s="162"/>
      <c r="N1" s="216"/>
      <c r="O1" s="216"/>
      <c r="P1" s="216"/>
      <c r="Q1" s="216"/>
      <c r="R1" s="195"/>
      <c r="S1" s="216"/>
      <c r="T1" s="216"/>
      <c r="U1" s="216"/>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3">
      <c r="B2" s="99"/>
      <c r="D2" s="45"/>
      <c r="E2" s="149"/>
      <c r="F2" s="149"/>
      <c r="G2" s="149"/>
      <c r="H2" s="149"/>
      <c r="I2" s="216"/>
      <c r="J2" s="216"/>
      <c r="K2" s="216"/>
      <c r="L2" s="216"/>
      <c r="M2" s="162"/>
      <c r="N2" s="216"/>
      <c r="O2" s="216"/>
      <c r="P2" s="216"/>
      <c r="Q2" s="216"/>
      <c r="R2" s="195"/>
      <c r="S2" s="216"/>
      <c r="T2" s="216"/>
      <c r="U2" s="216"/>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3">
      <c r="B3" s="432" t="s">
        <v>211</v>
      </c>
      <c r="C3" s="433"/>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6.2" x14ac:dyDescent="0.4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ht="14.55" customHeight="1" x14ac:dyDescent="0.3">
      <c r="B5" s="432" t="s">
        <v>212</v>
      </c>
      <c r="C5" s="433"/>
      <c r="D5" s="13"/>
      <c r="E5" s="13"/>
      <c r="F5" s="13"/>
      <c r="G5" s="258"/>
      <c r="H5" s="259"/>
      <c r="I5" s="258"/>
      <c r="J5" s="13"/>
      <c r="K5" s="13"/>
      <c r="L5" s="258"/>
      <c r="M5" s="259"/>
      <c r="N5" s="258"/>
      <c r="O5" s="13"/>
      <c r="P5" s="13"/>
      <c r="Q5" s="258"/>
      <c r="R5" s="259"/>
      <c r="S5" s="258"/>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3">
      <c r="B6" s="436" t="s">
        <v>213</v>
      </c>
      <c r="C6" s="437"/>
      <c r="D6" s="16">
        <f>'Cash Flow Statement'!D41</f>
        <v>4761.6000000000004</v>
      </c>
      <c r="E6" s="16">
        <f>'Cash Flow Statement'!E41</f>
        <v>2055.1000000000004</v>
      </c>
      <c r="F6" s="16">
        <f>'Cash Flow Statement'!F41</f>
        <v>4763.4000000000015</v>
      </c>
      <c r="G6" s="101">
        <f>'Cash Flow Statement'!G41</f>
        <v>2686.6000000000022</v>
      </c>
      <c r="H6" s="17">
        <f>G6</f>
        <v>2686.6000000000022</v>
      </c>
      <c r="I6" s="16">
        <f>'Cash Flow Statement'!I41</f>
        <v>3040.5000000000036</v>
      </c>
      <c r="J6" s="16">
        <f>'Cash Flow Statement'!J41</f>
        <v>2572.3000000000029</v>
      </c>
      <c r="K6" s="16">
        <f>'Cash Flow Statement'!K41</f>
        <v>3965.9000000000042</v>
      </c>
      <c r="L6" s="101">
        <f>'Cash Flow Statement'!L41</f>
        <v>4350.900000000006</v>
      </c>
      <c r="M6" s="17">
        <f>L6</f>
        <v>4350.900000000006</v>
      </c>
      <c r="N6" s="16">
        <f>'Cash Flow Statement'!N41</f>
        <v>5028.00000000001</v>
      </c>
      <c r="O6" s="16">
        <f>'Cash Flow Statement'!O41</f>
        <v>3880.6000000000104</v>
      </c>
      <c r="P6" s="16">
        <f>'Cash Flow Statement'!P41</f>
        <v>4753.1000000000095</v>
      </c>
      <c r="Q6" s="16">
        <f>'Cash Flow Statement'!Q41</f>
        <v>6455.7000000000089</v>
      </c>
      <c r="R6" s="17">
        <f>Q6</f>
        <v>6455.7000000000089</v>
      </c>
      <c r="S6" s="16">
        <f>'Cash Flow Statement'!S41</f>
        <v>3969.4000000000078</v>
      </c>
      <c r="T6" s="16">
        <f>'Cash Flow Statement'!T41</f>
        <v>3913.4000000000083</v>
      </c>
      <c r="U6" s="16">
        <f>'Cash Flow Statement'!U41</f>
        <v>3177.5000000000073</v>
      </c>
      <c r="V6" s="16">
        <f>'Cash Flow Statement'!V41</f>
        <v>3252.6993448393941</v>
      </c>
      <c r="W6" s="17">
        <f>V6</f>
        <v>3252.6993448393941</v>
      </c>
      <c r="X6" s="16">
        <f>'Cash Flow Statement'!X41</f>
        <v>3666.0614043178766</v>
      </c>
      <c r="Y6" s="16">
        <f>'Cash Flow Statement'!Y41</f>
        <v>3161.9917292242617</v>
      </c>
      <c r="Z6" s="16">
        <f>'Cash Flow Statement'!Z41</f>
        <v>2920.316654778565</v>
      </c>
      <c r="AA6" s="16">
        <f>'Cash Flow Statement'!AA41</f>
        <v>3516.2664206510899</v>
      </c>
      <c r="AB6" s="17">
        <f>AA6</f>
        <v>3516.2664206510899</v>
      </c>
      <c r="AC6" s="16">
        <f>'Cash Flow Statement'!AC41</f>
        <v>4310.8334032023095</v>
      </c>
      <c r="AD6" s="16">
        <f>'Cash Flow Statement'!AD41</f>
        <v>4069.7974787335893</v>
      </c>
      <c r="AE6" s="16">
        <f>'Cash Flow Statement'!AE41</f>
        <v>4102.1196225674075</v>
      </c>
      <c r="AF6" s="16">
        <f>'Cash Flow Statement'!AF41</f>
        <v>4645.1767963144257</v>
      </c>
      <c r="AG6" s="17">
        <f>AF6</f>
        <v>4645.1767963144257</v>
      </c>
      <c r="AH6" s="16">
        <f>'Cash Flow Statement'!AH41</f>
        <v>5516.6280277849673</v>
      </c>
      <c r="AI6" s="16">
        <f>'Cash Flow Statement'!AI41</f>
        <v>5277.3461012798416</v>
      </c>
      <c r="AJ6" s="16">
        <f>'Cash Flow Statement'!AJ41</f>
        <v>5631.8755560345362</v>
      </c>
      <c r="AK6" s="16">
        <f>'Cash Flow Statement'!AK41</f>
        <v>1429.0310091872861</v>
      </c>
      <c r="AL6" s="17">
        <f>AK6</f>
        <v>1429.0310091872861</v>
      </c>
      <c r="AM6" s="16">
        <f>'Cash Flow Statement'!AM41</f>
        <v>2312.8869300984857</v>
      </c>
      <c r="AN6" s="16">
        <f>'Cash Flow Statement'!AN41</f>
        <v>1932.079440461963</v>
      </c>
      <c r="AO6" s="16">
        <f>'Cash Flow Statement'!AO41</f>
        <v>1982.4038353483024</v>
      </c>
      <c r="AP6" s="16">
        <f>'Cash Flow Statement'!AP41</f>
        <v>2708.5814669353776</v>
      </c>
      <c r="AQ6" s="17">
        <f>AP6</f>
        <v>2708.5814669353776</v>
      </c>
      <c r="AR6" s="16">
        <f>'Cash Flow Statement'!AR41</f>
        <v>3795.6241271793197</v>
      </c>
      <c r="AS6" s="16">
        <f>'Cash Flow Statement'!AS41</f>
        <v>3498.838612579716</v>
      </c>
      <c r="AT6" s="16">
        <f>'Cash Flow Statement'!AT41</f>
        <v>3673.1641628517177</v>
      </c>
      <c r="AU6" s="16">
        <f>'Cash Flow Statement'!AU41</f>
        <v>4472.886881030654</v>
      </c>
      <c r="AV6" s="17">
        <f>AU6</f>
        <v>4472.886881030654</v>
      </c>
    </row>
    <row r="7" spans="1:48" ht="14.55" customHeight="1" outlineLevel="1" x14ac:dyDescent="0.3">
      <c r="A7" s="161"/>
      <c r="B7" s="200" t="s">
        <v>214</v>
      </c>
      <c r="C7" s="201"/>
      <c r="D7" s="16">
        <v>230.2</v>
      </c>
      <c r="E7" s="16">
        <v>76.599999999999994</v>
      </c>
      <c r="F7" s="16">
        <v>72.099999999999994</v>
      </c>
      <c r="G7" s="16">
        <v>70.5</v>
      </c>
      <c r="H7" s="17">
        <f>+G7</f>
        <v>70.5</v>
      </c>
      <c r="I7" s="16">
        <v>68.400000000000006</v>
      </c>
      <c r="J7" s="16">
        <v>52.9</v>
      </c>
      <c r="K7" s="16">
        <v>229.9</v>
      </c>
      <c r="L7" s="16">
        <v>281.2</v>
      </c>
      <c r="M7" s="17">
        <f>+L7</f>
        <v>281.2</v>
      </c>
      <c r="N7" s="16">
        <v>235.5</v>
      </c>
      <c r="O7" s="16">
        <v>123</v>
      </c>
      <c r="P7" s="16">
        <v>153.6</v>
      </c>
      <c r="Q7" s="101">
        <v>162.19999999999999</v>
      </c>
      <c r="R7" s="17">
        <f>+Q7</f>
        <v>162.19999999999999</v>
      </c>
      <c r="S7" s="16">
        <v>87.4</v>
      </c>
      <c r="T7" s="16">
        <v>82.1</v>
      </c>
      <c r="U7" s="16">
        <v>76.900000000000006</v>
      </c>
      <c r="V7" s="16">
        <f>+V53*V42*V54</f>
        <v>95.500575647687469</v>
      </c>
      <c r="W7" s="17">
        <f>+V7</f>
        <v>95.500575647687469</v>
      </c>
      <c r="X7" s="16">
        <f>+X53*X42*X54</f>
        <v>86.242056600962172</v>
      </c>
      <c r="Y7" s="16">
        <f>+Y53*Y42*Y54</f>
        <v>85.562082668529058</v>
      </c>
      <c r="Z7" s="16">
        <f>+Z53*Z42*Z54</f>
        <v>88.660774598026492</v>
      </c>
      <c r="AA7" s="16">
        <f>+AA53*AA42*AA54</f>
        <v>91.78830759639655</v>
      </c>
      <c r="AB7" s="17">
        <f>+AA7</f>
        <v>91.78830759639655</v>
      </c>
      <c r="AC7" s="16">
        <f>+AC53*AC42*AC54</f>
        <v>93.031928044095721</v>
      </c>
      <c r="AD7" s="16">
        <f>+AD53*AD42*AD54</f>
        <v>93.146450070213703</v>
      </c>
      <c r="AE7" s="16">
        <f>+AE53*AE42*AE54</f>
        <v>95.54973383467123</v>
      </c>
      <c r="AF7" s="16">
        <f>+AF53*AF42*AF54</f>
        <v>96.963855341271696</v>
      </c>
      <c r="AG7" s="17">
        <f>+AF7</f>
        <v>96.963855341271696</v>
      </c>
      <c r="AH7" s="16">
        <f>+AH53*AH42*AH54</f>
        <v>100.35359594589841</v>
      </c>
      <c r="AI7" s="16">
        <f>+AI53*AI42*AI54</f>
        <v>100.41791707638792</v>
      </c>
      <c r="AJ7" s="16">
        <f>+AJ53*AJ42*AJ54</f>
        <v>103.97861862711942</v>
      </c>
      <c r="AK7" s="16">
        <f>+AK53*AK42*AK54</f>
        <v>89.808972588169809</v>
      </c>
      <c r="AL7" s="17">
        <f>+AK7</f>
        <v>89.808972588169809</v>
      </c>
      <c r="AM7" s="16">
        <f>+AM53*AM42*AM54</f>
        <v>93.360921409948361</v>
      </c>
      <c r="AN7" s="16">
        <f>+AN53*AN42*AN54</f>
        <v>92.867185429492167</v>
      </c>
      <c r="AO7" s="16">
        <f>+AO53*AO42*AO54</f>
        <v>95.592789803280638</v>
      </c>
      <c r="AP7" s="16">
        <f>+AP53*AP42*AP54</f>
        <v>96.882951011050437</v>
      </c>
      <c r="AQ7" s="17">
        <f>+AP7</f>
        <v>96.882951011050437</v>
      </c>
      <c r="AR7" s="16">
        <f>+AR53*AR42*AR54</f>
        <v>100.9697361643871</v>
      </c>
      <c r="AS7" s="16">
        <f>+AS53*AS42*AS54</f>
        <v>100.69315300889743</v>
      </c>
      <c r="AT7" s="16">
        <f>+AT53*AT42*AT54</f>
        <v>103.76813124953718</v>
      </c>
      <c r="AU7" s="16">
        <f>+AU53*AU42*AU54</f>
        <v>105.36414828582656</v>
      </c>
      <c r="AV7" s="17">
        <f>+AU7</f>
        <v>105.36414828582656</v>
      </c>
    </row>
    <row r="8" spans="1:48" s="23" customFormat="1" ht="14.55" customHeight="1" outlineLevel="1" x14ac:dyDescent="0.3">
      <c r="A8" s="161"/>
      <c r="B8" s="436" t="s">
        <v>215</v>
      </c>
      <c r="C8" s="437"/>
      <c r="D8" s="16">
        <v>721.4</v>
      </c>
      <c r="E8" s="16">
        <v>703.6</v>
      </c>
      <c r="F8" s="16">
        <v>790.6</v>
      </c>
      <c r="G8" s="16">
        <v>879</v>
      </c>
      <c r="H8" s="17">
        <f>G8</f>
        <v>879</v>
      </c>
      <c r="I8" s="16">
        <v>908.1</v>
      </c>
      <c r="J8" s="16">
        <v>941</v>
      </c>
      <c r="K8" s="16">
        <v>881.1</v>
      </c>
      <c r="L8" s="16">
        <v>883.4</v>
      </c>
      <c r="M8" s="17">
        <f>L8</f>
        <v>883.4</v>
      </c>
      <c r="N8" s="16">
        <v>888</v>
      </c>
      <c r="O8" s="16">
        <v>880.2</v>
      </c>
      <c r="P8" s="16">
        <v>911.2</v>
      </c>
      <c r="Q8" s="101">
        <v>940</v>
      </c>
      <c r="R8" s="17">
        <f>Q8</f>
        <v>940</v>
      </c>
      <c r="S8" s="16">
        <v>1031.0999999999999</v>
      </c>
      <c r="T8" s="16">
        <v>1001.9</v>
      </c>
      <c r="U8" s="16">
        <v>1146.0999999999999</v>
      </c>
      <c r="V8" s="16">
        <f>'Income Statement &amp; Segments'!V8/V47</f>
        <v>1064.1520072753249</v>
      </c>
      <c r="W8" s="17">
        <f>V8</f>
        <v>1064.1520072753249</v>
      </c>
      <c r="X8" s="16">
        <f>'Income Statement &amp; Segments'!X8/X47</f>
        <v>1119.7626094038656</v>
      </c>
      <c r="Y8" s="16">
        <f>'Income Statement &amp; Segments'!Y8/Y47</f>
        <v>1167.4042397194328</v>
      </c>
      <c r="Z8" s="16">
        <f>'Income Statement &amp; Segments'!Z8/Z47</f>
        <v>1369.713028487625</v>
      </c>
      <c r="AA8" s="16">
        <f>'Income Statement &amp; Segments'!AA8/AA47</f>
        <v>1201.0727677629843</v>
      </c>
      <c r="AB8" s="17">
        <f>AA8</f>
        <v>1201.0727677629843</v>
      </c>
      <c r="AC8" s="16">
        <f>'Income Statement &amp; Segments'!AC8/AC47</f>
        <v>1261.7487849685679</v>
      </c>
      <c r="AD8" s="16">
        <f>'Income Statement &amp; Segments'!AD8/AD47</f>
        <v>1233.6102679930627</v>
      </c>
      <c r="AE8" s="16">
        <f>'Income Statement &amp; Segments'!AE8/AE47</f>
        <v>1372.7604456345728</v>
      </c>
      <c r="AF8" s="16">
        <f>'Income Statement &amp; Segments'!AF8/AF47</f>
        <v>1278.6956910645613</v>
      </c>
      <c r="AG8" s="17">
        <f>AF8</f>
        <v>1278.6956910645613</v>
      </c>
      <c r="AH8" s="16">
        <f>'Income Statement &amp; Segments'!AH8/AH47</f>
        <v>1400.139003961182</v>
      </c>
      <c r="AI8" s="16">
        <f>'Income Statement &amp; Segments'!AI8/AI47</f>
        <v>1381.7201777106686</v>
      </c>
      <c r="AJ8" s="16">
        <f>'Income Statement &amp; Segments'!AJ8/AJ47</f>
        <v>1594.2135043198928</v>
      </c>
      <c r="AK8" s="16">
        <f>'Income Statement &amp; Segments'!AK8/AK47</f>
        <v>1463.4294840280752</v>
      </c>
      <c r="AL8" s="17">
        <f>AK8</f>
        <v>1463.4294840280752</v>
      </c>
      <c r="AM8" s="16">
        <f>'Income Statement &amp; Segments'!AM8/AM47</f>
        <v>1543.7879429319219</v>
      </c>
      <c r="AN8" s="16">
        <f>'Income Statement &amp; Segments'!AN8/AN47</f>
        <v>1525.8328187019108</v>
      </c>
      <c r="AO8" s="16">
        <f>'Income Statement &amp; Segments'!AO8/AO47</f>
        <v>1743.0225810365534</v>
      </c>
      <c r="AP8" s="16">
        <f>'Income Statement &amp; Segments'!AP8/AP47</f>
        <v>1583.5109827453898</v>
      </c>
      <c r="AQ8" s="17">
        <f>AP8</f>
        <v>1583.5109827453898</v>
      </c>
      <c r="AR8" s="16">
        <f>'Income Statement &amp; Segments'!AR8/AR47</f>
        <v>1644.4548002791869</v>
      </c>
      <c r="AS8" s="16">
        <f>'Income Statement &amp; Segments'!AS8/AS47</f>
        <v>1611.5568849281378</v>
      </c>
      <c r="AT8" s="16">
        <f>'Income Statement &amp; Segments'!AT8/AT47</f>
        <v>1826.2350509759381</v>
      </c>
      <c r="AU8" s="16">
        <f>'Income Statement &amp; Segments'!AU8/AU47</f>
        <v>1677.3204940394201</v>
      </c>
      <c r="AV8" s="17">
        <f>AU8</f>
        <v>1677.3204940394201</v>
      </c>
    </row>
    <row r="9" spans="1:48" s="23" customFormat="1" ht="14.55" customHeight="1" outlineLevel="1" x14ac:dyDescent="0.3">
      <c r="A9" s="161"/>
      <c r="B9" s="200" t="s">
        <v>216</v>
      </c>
      <c r="C9" s="201"/>
      <c r="D9" s="16">
        <v>1354.6</v>
      </c>
      <c r="E9" s="16">
        <v>1443</v>
      </c>
      <c r="F9" s="16">
        <v>1517.2</v>
      </c>
      <c r="G9" s="16">
        <v>1529.4</v>
      </c>
      <c r="H9" s="17">
        <f>G9</f>
        <v>1529.4</v>
      </c>
      <c r="I9" s="16">
        <v>1408.7</v>
      </c>
      <c r="J9" s="16">
        <v>1492.2</v>
      </c>
      <c r="K9" s="16">
        <v>1583.8</v>
      </c>
      <c r="L9" s="16">
        <v>1551.4</v>
      </c>
      <c r="M9" s="17">
        <f>L9</f>
        <v>1551.4</v>
      </c>
      <c r="N9" s="16">
        <v>1471.5</v>
      </c>
      <c r="O9" s="16">
        <v>1503.6</v>
      </c>
      <c r="P9" s="16">
        <v>1548.2</v>
      </c>
      <c r="Q9" s="101">
        <v>1603.9</v>
      </c>
      <c r="R9" s="17">
        <f>Q9</f>
        <v>1603.9</v>
      </c>
      <c r="S9" s="16">
        <v>1637.1</v>
      </c>
      <c r="T9" s="16">
        <v>1920</v>
      </c>
      <c r="U9" s="16">
        <v>2132.9</v>
      </c>
      <c r="V9" s="16">
        <f>'Income Statement &amp; Segments'!V9/V49</f>
        <v>1902.7231489483838</v>
      </c>
      <c r="W9" s="17">
        <f>V9</f>
        <v>1902.7231489483838</v>
      </c>
      <c r="X9" s="16">
        <f>'Income Statement &amp; Segments'!X9/X49</f>
        <v>1851.7543128163065</v>
      </c>
      <c r="Y9" s="16">
        <f>'Income Statement &amp; Segments'!Y9/Y49</f>
        <v>2050.098692430362</v>
      </c>
      <c r="Z9" s="16">
        <f>'Income Statement &amp; Segments'!Z9/Z49</f>
        <v>2468.761178454195</v>
      </c>
      <c r="AA9" s="16">
        <f>'Income Statement &amp; Segments'!AA9/AA49</f>
        <v>2089.9509848914354</v>
      </c>
      <c r="AB9" s="17">
        <f>AA9</f>
        <v>2089.9509848914354</v>
      </c>
      <c r="AC9" s="16">
        <f>'Income Statement &amp; Segments'!AC9/AC49</f>
        <v>2040.9283641953671</v>
      </c>
      <c r="AD9" s="16">
        <f>'Income Statement &amp; Segments'!AD9/AD49</f>
        <v>2218.2216910770321</v>
      </c>
      <c r="AE9" s="16">
        <f>'Income Statement &amp; Segments'!AE9/AE49</f>
        <v>2510.1533511914272</v>
      </c>
      <c r="AF9" s="16">
        <f>'Income Statement &amp; Segments'!AF9/AF49</f>
        <v>2274.2541110919333</v>
      </c>
      <c r="AG9" s="17">
        <f>AF9</f>
        <v>2274.2541110919333</v>
      </c>
      <c r="AH9" s="16">
        <f>'Income Statement &amp; Segments'!AH9/AH49</f>
        <v>2216.6583975654535</v>
      </c>
      <c r="AI9" s="16">
        <f>'Income Statement &amp; Segments'!AI9/AI49</f>
        <v>2462.5717169622926</v>
      </c>
      <c r="AJ9" s="16">
        <f>'Income Statement &amp; Segments'!AJ9/AJ49</f>
        <v>2864.6506782031915</v>
      </c>
      <c r="AK9" s="16">
        <f>'Income Statement &amp; Segments'!AK9/AK49</f>
        <v>2580.8801353842241</v>
      </c>
      <c r="AL9" s="17">
        <f>AK9</f>
        <v>2580.8801353842241</v>
      </c>
      <c r="AM9" s="16">
        <f>'Income Statement &amp; Segments'!AM9/AM49</f>
        <v>2451.986788126701</v>
      </c>
      <c r="AN9" s="16">
        <f>'Income Statement &amp; Segments'!AN9/AN49</f>
        <v>2674.4844780993444</v>
      </c>
      <c r="AO9" s="16">
        <f>'Income Statement &amp; Segments'!AO9/AO49</f>
        <v>3109.433722006007</v>
      </c>
      <c r="AP9" s="16">
        <f>'Income Statement &amp; Segments'!AP9/AP49</f>
        <v>2788.5324102113073</v>
      </c>
      <c r="AQ9" s="17">
        <f>AP9</f>
        <v>2788.5324102113073</v>
      </c>
      <c r="AR9" s="16">
        <f>'Income Statement &amp; Segments'!AR9/AR49</f>
        <v>2612.3786046199316</v>
      </c>
      <c r="AS9" s="16">
        <f>'Income Statement &amp; Segments'!AS9/AS49</f>
        <v>2846.5897264728869</v>
      </c>
      <c r="AT9" s="16">
        <f>'Income Statement &amp; Segments'!AT9/AT49</f>
        <v>3267.2061504761887</v>
      </c>
      <c r="AU9" s="16">
        <f>'Income Statement &amp; Segments'!AU9/AU49</f>
        <v>2950.2952697121123</v>
      </c>
      <c r="AV9" s="17">
        <f>AU9</f>
        <v>2950.2952697121123</v>
      </c>
    </row>
    <row r="10" spans="1:48" ht="16.2" customHeight="1" outlineLevel="1" x14ac:dyDescent="0.45">
      <c r="A10" s="161"/>
      <c r="B10" s="436" t="s">
        <v>217</v>
      </c>
      <c r="C10" s="437"/>
      <c r="D10" s="260">
        <v>608.5</v>
      </c>
      <c r="E10" s="112">
        <v>674</v>
      </c>
      <c r="F10" s="112">
        <v>591.6</v>
      </c>
      <c r="G10" s="112">
        <v>488.2</v>
      </c>
      <c r="H10" s="261">
        <f>G10</f>
        <v>488.2</v>
      </c>
      <c r="I10" s="112">
        <v>474</v>
      </c>
      <c r="J10" s="112">
        <v>691.5</v>
      </c>
      <c r="K10" s="112">
        <v>920.3</v>
      </c>
      <c r="L10" s="112">
        <v>739.5</v>
      </c>
      <c r="M10" s="261">
        <f>L10</f>
        <v>739.5</v>
      </c>
      <c r="N10" s="112">
        <v>734.4</v>
      </c>
      <c r="O10" s="112">
        <v>592</v>
      </c>
      <c r="P10" s="112">
        <v>565.6</v>
      </c>
      <c r="Q10" s="112">
        <v>594.6</v>
      </c>
      <c r="R10" s="261">
        <f>Q10</f>
        <v>594.6</v>
      </c>
      <c r="S10" s="112">
        <v>530.1</v>
      </c>
      <c r="T10" s="112">
        <v>623.70000000000005</v>
      </c>
      <c r="U10" s="112">
        <v>534.1</v>
      </c>
      <c r="V10" s="32">
        <f>U10*1.01</f>
        <v>539.44100000000003</v>
      </c>
      <c r="W10" s="261">
        <f>V10</f>
        <v>539.44100000000003</v>
      </c>
      <c r="X10" s="32">
        <f>V10*1.01</f>
        <v>544.83541000000002</v>
      </c>
      <c r="Y10" s="32">
        <f>X10*1.01</f>
        <v>550.28376409999998</v>
      </c>
      <c r="Z10" s="32">
        <f>Y10*1.01</f>
        <v>555.78660174100003</v>
      </c>
      <c r="AA10" s="32">
        <f>Z10*1.01</f>
        <v>561.34446775841002</v>
      </c>
      <c r="AB10" s="261">
        <f>AA10</f>
        <v>561.34446775841002</v>
      </c>
      <c r="AC10" s="32">
        <f>AA10*1.01</f>
        <v>566.9579124359941</v>
      </c>
      <c r="AD10" s="32">
        <f>AC10*1.01</f>
        <v>572.62749156035409</v>
      </c>
      <c r="AE10" s="32">
        <f>AD10*1.01</f>
        <v>578.35376647595763</v>
      </c>
      <c r="AF10" s="32">
        <f>AE10*1.01</f>
        <v>584.13730414071722</v>
      </c>
      <c r="AG10" s="261">
        <f>AF10</f>
        <v>584.13730414071722</v>
      </c>
      <c r="AH10" s="32">
        <f>AF10*1.01</f>
        <v>589.97867718212444</v>
      </c>
      <c r="AI10" s="32">
        <f>AH10*1.01</f>
        <v>595.8784639539457</v>
      </c>
      <c r="AJ10" s="32">
        <f>AI10*1.01</f>
        <v>601.83724859348513</v>
      </c>
      <c r="AK10" s="32">
        <f>AJ10*1.01</f>
        <v>607.85562107941996</v>
      </c>
      <c r="AL10" s="261">
        <f>AK10</f>
        <v>607.85562107941996</v>
      </c>
      <c r="AM10" s="32">
        <f>AK10*1.01</f>
        <v>613.93417729021417</v>
      </c>
      <c r="AN10" s="32">
        <f>AM10*1.01</f>
        <v>620.07351906311635</v>
      </c>
      <c r="AO10" s="32">
        <f>AN10*1.01</f>
        <v>626.27425425374747</v>
      </c>
      <c r="AP10" s="32">
        <f>AO10*1.01</f>
        <v>632.53699679628494</v>
      </c>
      <c r="AQ10" s="261">
        <f>AP10</f>
        <v>632.53699679628494</v>
      </c>
      <c r="AR10" s="32">
        <f>AP10*1.01</f>
        <v>638.86236676424778</v>
      </c>
      <c r="AS10" s="32">
        <f>AR10*1.01</f>
        <v>645.25099043189027</v>
      </c>
      <c r="AT10" s="32">
        <f>AS10*1.01</f>
        <v>651.70350033620923</v>
      </c>
      <c r="AU10" s="32">
        <f>AT10*1.01</f>
        <v>658.22053533957137</v>
      </c>
      <c r="AV10" s="261">
        <f>AU10</f>
        <v>658.22053533957137</v>
      </c>
    </row>
    <row r="11" spans="1:48" ht="14.55" customHeight="1" outlineLevel="1" x14ac:dyDescent="0.3">
      <c r="A11" s="161"/>
      <c r="B11" s="205" t="s">
        <v>218</v>
      </c>
      <c r="C11" s="206"/>
      <c r="D11" s="21">
        <f t="shared" ref="D11:AV11" si="0">SUM(D6:D10)</f>
        <v>7676.2999999999993</v>
      </c>
      <c r="E11" s="21">
        <f t="shared" si="0"/>
        <v>4952.3</v>
      </c>
      <c r="F11" s="21">
        <f t="shared" si="0"/>
        <v>7734.9000000000024</v>
      </c>
      <c r="G11" s="21">
        <f t="shared" si="0"/>
        <v>5653.7000000000016</v>
      </c>
      <c r="H11" s="22">
        <f t="shared" si="0"/>
        <v>5653.7000000000016</v>
      </c>
      <c r="I11" s="21">
        <f t="shared" si="0"/>
        <v>5899.7000000000035</v>
      </c>
      <c r="J11" s="21">
        <f t="shared" si="0"/>
        <v>5749.9000000000033</v>
      </c>
      <c r="K11" s="21">
        <f t="shared" si="0"/>
        <v>7581.0000000000045</v>
      </c>
      <c r="L11" s="116">
        <f t="shared" si="0"/>
        <v>7806.4000000000051</v>
      </c>
      <c r="M11" s="22">
        <f t="shared" si="0"/>
        <v>7806.4000000000051</v>
      </c>
      <c r="N11" s="21">
        <f t="shared" si="0"/>
        <v>8357.4000000000106</v>
      </c>
      <c r="O11" s="21">
        <f t="shared" si="0"/>
        <v>6979.4000000000106</v>
      </c>
      <c r="P11" s="21">
        <f t="shared" si="0"/>
        <v>7931.7000000000098</v>
      </c>
      <c r="Q11" s="116">
        <f t="shared" si="0"/>
        <v>9756.4000000000087</v>
      </c>
      <c r="R11" s="22">
        <f t="shared" si="0"/>
        <v>9756.4000000000087</v>
      </c>
      <c r="S11" s="21">
        <f t="shared" si="0"/>
        <v>7255.1000000000076</v>
      </c>
      <c r="T11" s="21">
        <f t="shared" si="0"/>
        <v>7541.1000000000076</v>
      </c>
      <c r="U11" s="21">
        <f t="shared" si="0"/>
        <v>7067.5000000000073</v>
      </c>
      <c r="V11" s="21">
        <f t="shared" si="0"/>
        <v>6854.51607671079</v>
      </c>
      <c r="W11" s="22">
        <f t="shared" si="0"/>
        <v>6854.51607671079</v>
      </c>
      <c r="X11" s="21">
        <f t="shared" si="0"/>
        <v>7268.6557931390107</v>
      </c>
      <c r="Y11" s="21">
        <f t="shared" si="0"/>
        <v>7015.3405081425853</v>
      </c>
      <c r="Z11" s="21">
        <f t="shared" si="0"/>
        <v>7403.2382380594108</v>
      </c>
      <c r="AA11" s="21">
        <f t="shared" si="0"/>
        <v>7460.4229486603163</v>
      </c>
      <c r="AB11" s="22">
        <f t="shared" si="0"/>
        <v>7460.4229486603163</v>
      </c>
      <c r="AC11" s="21">
        <f t="shared" si="0"/>
        <v>8273.5003928463339</v>
      </c>
      <c r="AD11" s="21">
        <f t="shared" si="0"/>
        <v>8187.4033794342522</v>
      </c>
      <c r="AE11" s="21">
        <f t="shared" si="0"/>
        <v>8658.936919704036</v>
      </c>
      <c r="AF11" s="21">
        <f t="shared" si="0"/>
        <v>8879.2277579529091</v>
      </c>
      <c r="AG11" s="22">
        <f t="shared" si="0"/>
        <v>8879.2277579529091</v>
      </c>
      <c r="AH11" s="21">
        <f t="shared" si="0"/>
        <v>9823.7577024396251</v>
      </c>
      <c r="AI11" s="21">
        <f t="shared" si="0"/>
        <v>9817.9343769831376</v>
      </c>
      <c r="AJ11" s="21">
        <f t="shared" si="0"/>
        <v>10796.555605778225</v>
      </c>
      <c r="AK11" s="21">
        <f t="shared" si="0"/>
        <v>6171.0052222671748</v>
      </c>
      <c r="AL11" s="22">
        <f t="shared" si="0"/>
        <v>6171.0052222671748</v>
      </c>
      <c r="AM11" s="21">
        <f t="shared" si="0"/>
        <v>7015.9567598572712</v>
      </c>
      <c r="AN11" s="21">
        <f t="shared" si="0"/>
        <v>6845.3374417558271</v>
      </c>
      <c r="AO11" s="21">
        <f t="shared" si="0"/>
        <v>7556.7271824478903</v>
      </c>
      <c r="AP11" s="21">
        <f t="shared" si="0"/>
        <v>7810.0448076994098</v>
      </c>
      <c r="AQ11" s="22">
        <f t="shared" si="0"/>
        <v>7810.0448076994098</v>
      </c>
      <c r="AR11" s="21">
        <f t="shared" si="0"/>
        <v>8792.2896350070732</v>
      </c>
      <c r="AS11" s="21">
        <f t="shared" si="0"/>
        <v>8702.9293674215278</v>
      </c>
      <c r="AT11" s="21">
        <f t="shared" si="0"/>
        <v>9522.0769958895889</v>
      </c>
      <c r="AU11" s="21">
        <f t="shared" si="0"/>
        <v>9864.0873284075842</v>
      </c>
      <c r="AV11" s="22">
        <f t="shared" si="0"/>
        <v>9864.0873284075842</v>
      </c>
    </row>
    <row r="12" spans="1:48" ht="14.55" customHeight="1" outlineLevel="1" x14ac:dyDescent="0.3">
      <c r="A12" s="161"/>
      <c r="B12" s="200" t="s">
        <v>219</v>
      </c>
      <c r="C12" s="207"/>
      <c r="D12" s="16">
        <v>265</v>
      </c>
      <c r="E12" s="16">
        <v>251.9</v>
      </c>
      <c r="F12" s="16">
        <v>222.6</v>
      </c>
      <c r="G12" s="16">
        <v>220</v>
      </c>
      <c r="H12" s="17">
        <f t="shared" ref="H12:H18" si="1">+G12</f>
        <v>220</v>
      </c>
      <c r="I12" s="16">
        <v>199.8</v>
      </c>
      <c r="J12" s="16">
        <v>198.8</v>
      </c>
      <c r="K12" s="16">
        <v>223.4</v>
      </c>
      <c r="L12" s="101">
        <v>206.1</v>
      </c>
      <c r="M12" s="17">
        <f>+L12</f>
        <v>206.1</v>
      </c>
      <c r="N12" s="16">
        <v>190.9</v>
      </c>
      <c r="O12" s="16">
        <v>284.8</v>
      </c>
      <c r="P12" s="16">
        <v>285.89999999999998</v>
      </c>
      <c r="Q12" s="101">
        <v>281.7</v>
      </c>
      <c r="R12" s="17">
        <f>+Q12</f>
        <v>281.7</v>
      </c>
      <c r="S12" s="16">
        <v>299.60000000000002</v>
      </c>
      <c r="T12" s="16">
        <v>285.60000000000002</v>
      </c>
      <c r="U12" s="16">
        <v>292.5</v>
      </c>
      <c r="V12" s="16">
        <f>+V53*V42*(1-V54)</f>
        <v>278.02542371047741</v>
      </c>
      <c r="W12" s="17">
        <f>+V12</f>
        <v>278.02542371047741</v>
      </c>
      <c r="X12" s="16">
        <f>+X53*X42*(1-X54)</f>
        <v>291.61142782659624</v>
      </c>
      <c r="Y12" s="16">
        <f>+Y53*Y42*(1-Y54)</f>
        <v>288.32841677541887</v>
      </c>
      <c r="Z12" s="16">
        <f>+Z53*Z42*(1-Z54)</f>
        <v>296.43020937574079</v>
      </c>
      <c r="AA12" s="16">
        <f>+AA53*AA42*(1-AA54)</f>
        <v>297.56128951698344</v>
      </c>
      <c r="AB12" s="17">
        <f>+AA12</f>
        <v>297.56128951698344</v>
      </c>
      <c r="AC12" s="16">
        <f>+AC53*AC42*(1-AC54)</f>
        <v>310.11128959656003</v>
      </c>
      <c r="AD12" s="16">
        <f>+AD53*AD42*(1-AD54)</f>
        <v>309.39217752915346</v>
      </c>
      <c r="AE12" s="16">
        <f>+AE53*AE42*(1-AE54)</f>
        <v>316.23818080957267</v>
      </c>
      <c r="AF12" s="16">
        <f>+AF53*AF42*(1-AF54)</f>
        <v>320.10827883374321</v>
      </c>
      <c r="AG12" s="17">
        <f>+AF12</f>
        <v>320.10827883374321</v>
      </c>
      <c r="AH12" s="16">
        <f>+AH53*AH42*(1-AH54)</f>
        <v>332.81775730189372</v>
      </c>
      <c r="AI12" s="16">
        <f>+AI53*AI42*(1-AI54)</f>
        <v>332.6080089633229</v>
      </c>
      <c r="AJ12" s="16">
        <f>+AJ53*AJ42*(1-AJ54)</f>
        <v>344.16003971778889</v>
      </c>
      <c r="AK12" s="16">
        <f>+AK53*AK42*(1-AK54)</f>
        <v>297.26516715823942</v>
      </c>
      <c r="AL12" s="17">
        <f>+AK12</f>
        <v>297.26516715823942</v>
      </c>
      <c r="AM12" s="16">
        <f>+AM53*AM42*(1-AM54)</f>
        <v>309.22456622626248</v>
      </c>
      <c r="AN12" s="16">
        <f>+AN53*AN42*(1-AN54)</f>
        <v>307.48931702292919</v>
      </c>
      <c r="AO12" s="16">
        <f>+AO53*AO42*(1-AO54)</f>
        <v>316.48596329992972</v>
      </c>
      <c r="AP12" s="16">
        <f>+AP53*AP42*(1-AP54)</f>
        <v>320.77824513471012</v>
      </c>
      <c r="AQ12" s="17">
        <f>+AP12</f>
        <v>320.77824513471012</v>
      </c>
      <c r="AR12" s="16">
        <f>+AR53*AR42*(1-AR54)</f>
        <v>334.33518747174469</v>
      </c>
      <c r="AS12" s="16">
        <f>+AS53*AS42*(1-AS54)</f>
        <v>333.39670981223719</v>
      </c>
      <c r="AT12" s="16">
        <f>+AT53*AT42*(1-AT54)</f>
        <v>343.57675244401321</v>
      </c>
      <c r="AU12" s="16">
        <f>+AU53*AU42*(1-AU54)</f>
        <v>348.8672888651912</v>
      </c>
      <c r="AV12" s="17">
        <f>+AU12</f>
        <v>348.8672888651912</v>
      </c>
    </row>
    <row r="13" spans="1:48" ht="14.55" customHeight="1" outlineLevel="1" x14ac:dyDescent="0.3">
      <c r="A13" s="161"/>
      <c r="B13" s="200" t="s">
        <v>220</v>
      </c>
      <c r="C13" s="207"/>
      <c r="D13" s="16">
        <v>336.1</v>
      </c>
      <c r="E13" s="16">
        <v>309.3</v>
      </c>
      <c r="F13" s="16">
        <v>340.3</v>
      </c>
      <c r="G13" s="16">
        <v>396</v>
      </c>
      <c r="H13" s="17">
        <f t="shared" si="1"/>
        <v>396</v>
      </c>
      <c r="I13" s="16">
        <v>411.3</v>
      </c>
      <c r="J13" s="16">
        <v>420.9</v>
      </c>
      <c r="K13" s="16">
        <v>426.1</v>
      </c>
      <c r="L13" s="101">
        <v>478.7</v>
      </c>
      <c r="M13" s="17">
        <f>+L13</f>
        <v>478.7</v>
      </c>
      <c r="N13" s="16">
        <v>496</v>
      </c>
      <c r="O13" s="16">
        <v>499.4</v>
      </c>
      <c r="P13" s="16">
        <v>535.29999999999995</v>
      </c>
      <c r="Q13" s="101">
        <v>268.5</v>
      </c>
      <c r="R13" s="17">
        <f>+Q13</f>
        <v>268.5</v>
      </c>
      <c r="S13" s="16">
        <v>251.9</v>
      </c>
      <c r="T13" s="16">
        <v>270.8</v>
      </c>
      <c r="U13" s="16">
        <v>302.7</v>
      </c>
      <c r="V13" s="33">
        <f>U13</f>
        <v>302.7</v>
      </c>
      <c r="W13" s="17">
        <f>+V13</f>
        <v>302.7</v>
      </c>
      <c r="X13" s="33">
        <f>V13</f>
        <v>302.7</v>
      </c>
      <c r="Y13" s="33">
        <f>X13</f>
        <v>302.7</v>
      </c>
      <c r="Z13" s="33">
        <f>Y13</f>
        <v>302.7</v>
      </c>
      <c r="AA13" s="33">
        <f>Z13</f>
        <v>302.7</v>
      </c>
      <c r="AB13" s="17">
        <f>+AA13</f>
        <v>302.7</v>
      </c>
      <c r="AC13" s="33">
        <f>AA13</f>
        <v>302.7</v>
      </c>
      <c r="AD13" s="33">
        <f>AC13</f>
        <v>302.7</v>
      </c>
      <c r="AE13" s="33">
        <f>AD13</f>
        <v>302.7</v>
      </c>
      <c r="AF13" s="33">
        <f>AE13</f>
        <v>302.7</v>
      </c>
      <c r="AG13" s="17">
        <f>+AF13</f>
        <v>302.7</v>
      </c>
      <c r="AH13" s="33">
        <f>AF13</f>
        <v>302.7</v>
      </c>
      <c r="AI13" s="33">
        <f>AH13</f>
        <v>302.7</v>
      </c>
      <c r="AJ13" s="33">
        <f>AI13</f>
        <v>302.7</v>
      </c>
      <c r="AK13" s="33">
        <f>AJ13</f>
        <v>302.7</v>
      </c>
      <c r="AL13" s="17">
        <f>+AK13</f>
        <v>302.7</v>
      </c>
      <c r="AM13" s="33">
        <f>AK13</f>
        <v>302.7</v>
      </c>
      <c r="AN13" s="33">
        <f>AM13</f>
        <v>302.7</v>
      </c>
      <c r="AO13" s="33">
        <f>AN13</f>
        <v>302.7</v>
      </c>
      <c r="AP13" s="33">
        <f>AO13</f>
        <v>302.7</v>
      </c>
      <c r="AQ13" s="17">
        <f>+AP13</f>
        <v>302.7</v>
      </c>
      <c r="AR13" s="33">
        <f>AP13</f>
        <v>302.7</v>
      </c>
      <c r="AS13" s="33">
        <f>AR13</f>
        <v>302.7</v>
      </c>
      <c r="AT13" s="33">
        <f>AS13</f>
        <v>302.7</v>
      </c>
      <c r="AU13" s="33">
        <f>AT13</f>
        <v>302.7</v>
      </c>
      <c r="AV13" s="17">
        <f>+AU13</f>
        <v>302.7</v>
      </c>
    </row>
    <row r="14" spans="1:48" s="8" customFormat="1" outlineLevel="1" x14ac:dyDescent="0.3">
      <c r="A14" s="161"/>
      <c r="B14" s="200" t="s">
        <v>221</v>
      </c>
      <c r="C14" s="206"/>
      <c r="D14" s="16">
        <v>6039.3</v>
      </c>
      <c r="E14" s="16">
        <v>6135.5</v>
      </c>
      <c r="F14" s="16">
        <v>6187.8</v>
      </c>
      <c r="G14" s="16">
        <v>6431.7</v>
      </c>
      <c r="H14" s="17">
        <f t="shared" si="1"/>
        <v>6431.7</v>
      </c>
      <c r="I14" s="16">
        <v>6390.9</v>
      </c>
      <c r="J14" s="16">
        <v>6387</v>
      </c>
      <c r="K14" s="16">
        <v>6295.6</v>
      </c>
      <c r="L14" s="101">
        <v>6241.4</v>
      </c>
      <c r="M14" s="17">
        <f>+L14</f>
        <v>6241.4</v>
      </c>
      <c r="N14" s="16">
        <v>6177.9</v>
      </c>
      <c r="O14" s="16">
        <v>6123.1</v>
      </c>
      <c r="P14" s="16">
        <v>6151.4</v>
      </c>
      <c r="Q14" s="101">
        <v>6369.5</v>
      </c>
      <c r="R14" s="17">
        <f>+Q14</f>
        <v>6369.5</v>
      </c>
      <c r="S14" s="16">
        <v>6398</v>
      </c>
      <c r="T14" s="16">
        <v>6460.8</v>
      </c>
      <c r="U14" s="101">
        <v>6408.2</v>
      </c>
      <c r="V14" s="16">
        <f>+U14-'Cash Flow Statement'!V25-'Cash Flow Statement'!V7</f>
        <v>6507.1394525996957</v>
      </c>
      <c r="W14" s="17">
        <f>+V14</f>
        <v>6507.1394525996957</v>
      </c>
      <c r="X14" s="16">
        <f>+V14-'Cash Flow Statement'!X25-'Cash Flow Statement'!X7</f>
        <v>6780.7260565265406</v>
      </c>
      <c r="Y14" s="16">
        <f>+X14-'Cash Flow Statement'!Y25-'Cash Flow Statement'!Y7</f>
        <v>7016.1560894579852</v>
      </c>
      <c r="Z14" s="16">
        <f>+Y14-'Cash Flow Statement'!Z25-'Cash Flow Statement'!Z7</f>
        <v>7299.0075363328833</v>
      </c>
      <c r="AA14" s="16">
        <f>+Z14-'Cash Flow Statement'!AA25-'Cash Flow Statement'!AA7</f>
        <v>7580.8951646104424</v>
      </c>
      <c r="AB14" s="17">
        <f>+AA14</f>
        <v>7580.8951646104424</v>
      </c>
      <c r="AC14" s="16">
        <f>+AA14-'Cash Flow Statement'!AC25-'Cash Flow Statement'!AC7</f>
        <v>7800.4449198549983</v>
      </c>
      <c r="AD14" s="16">
        <f>+AC14-'Cash Flow Statement'!AD25-'Cash Flow Statement'!AD7</f>
        <v>7969.5478596672592</v>
      </c>
      <c r="AE14" s="16">
        <f>+AD14-'Cash Flow Statement'!AE25-'Cash Flow Statement'!AE7</f>
        <v>8190.1467735439346</v>
      </c>
      <c r="AF14" s="16">
        <f>+AE14-'Cash Flow Statement'!AF25-'Cash Flow Statement'!AF7</f>
        <v>8415.5239461671899</v>
      </c>
      <c r="AG14" s="17">
        <f>+AF14</f>
        <v>8415.5239461671899</v>
      </c>
      <c r="AH14" s="16">
        <f>+AF14-'Cash Flow Statement'!AH25-'Cash Flow Statement'!AH7</f>
        <v>8584.1819556512837</v>
      </c>
      <c r="AI14" s="16">
        <f>+AH14-'Cash Flow Statement'!AI25-'Cash Flow Statement'!AI7</f>
        <v>8705.037793615953</v>
      </c>
      <c r="AJ14" s="16">
        <f>+AI14-'Cash Flow Statement'!AJ25-'Cash Flow Statement'!AJ7</f>
        <v>8880.6614981465318</v>
      </c>
      <c r="AK14" s="16">
        <f>+AJ14-'Cash Flow Statement'!AK25-'Cash Flow Statement'!AK7</f>
        <v>9065.3007271530441</v>
      </c>
      <c r="AL14" s="17">
        <f>+AK14</f>
        <v>9065.3007271530441</v>
      </c>
      <c r="AM14" s="16">
        <f>+AK14-'Cash Flow Statement'!AM25-'Cash Flow Statement'!AM7</f>
        <v>9262.550018025262</v>
      </c>
      <c r="AN14" s="16">
        <f>+AM14-'Cash Flow Statement'!AN25-'Cash Flow Statement'!AN7</f>
        <v>9402.92272851298</v>
      </c>
      <c r="AO14" s="16">
        <f>+AN14-'Cash Flow Statement'!AO25-'Cash Flow Statement'!AO7</f>
        <v>9599.925533051779</v>
      </c>
      <c r="AP14" s="16">
        <f>+AO14-'Cash Flow Statement'!AP25-'Cash Flow Statement'!AP7</f>
        <v>9804.0612761365082</v>
      </c>
      <c r="AQ14" s="17">
        <f>+AP14</f>
        <v>9804.0612761365082</v>
      </c>
      <c r="AR14" s="16">
        <f>+AP14-'Cash Flow Statement'!AR25-'Cash Flow Statement'!AR7</f>
        <v>10005.085738616126</v>
      </c>
      <c r="AS14" s="16">
        <f>+AR14-'Cash Flow Statement'!AS25-'Cash Flow Statement'!AS7</f>
        <v>10145.542476662295</v>
      </c>
      <c r="AT14" s="16">
        <f>+AS14-'Cash Flow Statement'!AT25-'Cash Flow Statement'!AT7</f>
        <v>10346.640321566085</v>
      </c>
      <c r="AU14" s="16">
        <f>+AT14-'Cash Flow Statement'!AU25-'Cash Flow Statement'!AU7</f>
        <v>10556.081551132092</v>
      </c>
      <c r="AV14" s="17">
        <f>+AU14</f>
        <v>10556.081551132092</v>
      </c>
    </row>
    <row r="15" spans="1:48" s="8" customFormat="1" outlineLevel="1" x14ac:dyDescent="0.3">
      <c r="A15" s="161"/>
      <c r="B15" s="200" t="s">
        <v>222</v>
      </c>
      <c r="C15" s="206"/>
      <c r="D15" s="16">
        <v>0</v>
      </c>
      <c r="E15" s="16">
        <v>0</v>
      </c>
      <c r="F15" s="16">
        <v>0</v>
      </c>
      <c r="G15" s="16">
        <v>0</v>
      </c>
      <c r="H15" s="17">
        <f t="shared" si="1"/>
        <v>0</v>
      </c>
      <c r="I15" s="16">
        <v>8358.5</v>
      </c>
      <c r="J15" s="16">
        <v>8260.7999999999993</v>
      </c>
      <c r="K15" s="16">
        <v>8214</v>
      </c>
      <c r="L15" s="101">
        <v>8134.1</v>
      </c>
      <c r="M15" s="17">
        <f>L15</f>
        <v>8134.1</v>
      </c>
      <c r="N15" s="16">
        <v>8199.4</v>
      </c>
      <c r="O15" s="16">
        <v>8036.8</v>
      </c>
      <c r="P15" s="16">
        <v>8065.2</v>
      </c>
      <c r="Q15" s="101">
        <v>8236</v>
      </c>
      <c r="R15" s="17">
        <f>Q15</f>
        <v>8236</v>
      </c>
      <c r="S15" s="16">
        <v>8203.4</v>
      </c>
      <c r="T15" s="16">
        <v>8170.2</v>
      </c>
      <c r="U15" s="101">
        <v>8037.1</v>
      </c>
      <c r="V15" s="33">
        <f>U15*0.996</f>
        <v>8004.9516000000003</v>
      </c>
      <c r="W15" s="17">
        <f>V15</f>
        <v>8004.9516000000003</v>
      </c>
      <c r="X15" s="33">
        <f>V15*0.996</f>
        <v>7972.9317936000007</v>
      </c>
      <c r="Y15" s="33">
        <f>X15*0.996</f>
        <v>7941.0400664256003</v>
      </c>
      <c r="Z15" s="33">
        <f>Y15*0.996</f>
        <v>7909.2759061598981</v>
      </c>
      <c r="AA15" s="33">
        <f>Z15*0.996</f>
        <v>7877.6388025352589</v>
      </c>
      <c r="AB15" s="17">
        <f>AA15</f>
        <v>7877.6388025352589</v>
      </c>
      <c r="AC15" s="33">
        <f>AA15*0.996</f>
        <v>7846.1282473251176</v>
      </c>
      <c r="AD15" s="33">
        <f>AC15*0.996</f>
        <v>7814.743734335817</v>
      </c>
      <c r="AE15" s="33">
        <f>AD15*0.996</f>
        <v>7783.4847593984732</v>
      </c>
      <c r="AF15" s="33">
        <f>AE15*0.996</f>
        <v>7752.350820360879</v>
      </c>
      <c r="AG15" s="17">
        <f>AF15</f>
        <v>7752.350820360879</v>
      </c>
      <c r="AH15" s="33">
        <f>AF15*0.996</f>
        <v>7721.3414170794358</v>
      </c>
      <c r="AI15" s="33">
        <f>AH15*0.996</f>
        <v>7690.4560514111181</v>
      </c>
      <c r="AJ15" s="33">
        <f>AI15*0.996</f>
        <v>7659.6942272054739</v>
      </c>
      <c r="AK15" s="33">
        <f>AJ15*0.996</f>
        <v>7629.0554502966515</v>
      </c>
      <c r="AL15" s="17">
        <f>AK15</f>
        <v>7629.0554502966515</v>
      </c>
      <c r="AM15" s="33">
        <f>AK15*0.996</f>
        <v>7598.5392284954651</v>
      </c>
      <c r="AN15" s="33">
        <f>AM15*0.996</f>
        <v>7568.1450715814835</v>
      </c>
      <c r="AO15" s="33">
        <f>AN15*0.996</f>
        <v>7537.8724912951575</v>
      </c>
      <c r="AP15" s="33">
        <f>AO15*0.996</f>
        <v>7507.7210013299764</v>
      </c>
      <c r="AQ15" s="17">
        <f>AP15</f>
        <v>7507.7210013299764</v>
      </c>
      <c r="AR15" s="33">
        <f>AP15*0.996</f>
        <v>7477.6901173246561</v>
      </c>
      <c r="AS15" s="33">
        <f>AR15*0.996</f>
        <v>7447.779356855357</v>
      </c>
      <c r="AT15" s="33">
        <f>AS15*0.996</f>
        <v>7417.9882394279357</v>
      </c>
      <c r="AU15" s="33">
        <f>AT15*0.996</f>
        <v>7388.3162864702235</v>
      </c>
      <c r="AV15" s="17">
        <f>AU15</f>
        <v>7388.3162864702235</v>
      </c>
    </row>
    <row r="16" spans="1:48" s="8" customFormat="1" outlineLevel="1" x14ac:dyDescent="0.3">
      <c r="A16" s="161"/>
      <c r="B16" s="200" t="s">
        <v>223</v>
      </c>
      <c r="C16" s="206"/>
      <c r="D16" s="16">
        <v>650</v>
      </c>
      <c r="E16" s="16">
        <v>1006.6</v>
      </c>
      <c r="F16" s="16">
        <v>1533</v>
      </c>
      <c r="G16" s="16">
        <v>1765.8</v>
      </c>
      <c r="H16" s="17">
        <f t="shared" si="1"/>
        <v>1765.8</v>
      </c>
      <c r="I16" s="16">
        <v>1731.4</v>
      </c>
      <c r="J16" s="16">
        <v>1709.7</v>
      </c>
      <c r="K16" s="16">
        <v>1740</v>
      </c>
      <c r="L16" s="101">
        <v>1789.9</v>
      </c>
      <c r="M16" s="17">
        <f>+L16</f>
        <v>1789.9</v>
      </c>
      <c r="N16" s="16">
        <v>1792.4</v>
      </c>
      <c r="O16" s="16">
        <v>1770</v>
      </c>
      <c r="P16" s="16">
        <v>1851</v>
      </c>
      <c r="Q16" s="101">
        <v>1874.8</v>
      </c>
      <c r="R16" s="17">
        <f>+Q16</f>
        <v>1874.8</v>
      </c>
      <c r="S16" s="16">
        <v>1859.7</v>
      </c>
      <c r="T16" s="16">
        <v>1809.4</v>
      </c>
      <c r="U16" s="101">
        <v>1752.9</v>
      </c>
      <c r="V16" s="101">
        <f>V55*(V27+V33)</f>
        <v>1781.9610885551483</v>
      </c>
      <c r="W16" s="169">
        <f>+V16</f>
        <v>1781.9610885551483</v>
      </c>
      <c r="X16" s="101">
        <f>X55*(X27+X33)</f>
        <v>1867.4297992146699</v>
      </c>
      <c r="Y16" s="101">
        <f>Y55*(Y27+Y33)</f>
        <v>1790.8144471711594</v>
      </c>
      <c r="Z16" s="101">
        <f>Z55*(Z27+Z33)</f>
        <v>1777.3703618915845</v>
      </c>
      <c r="AA16" s="101">
        <f>AA55*(AA27+AA33)</f>
        <v>1771.5734908146667</v>
      </c>
      <c r="AB16" s="169">
        <f>+AA16</f>
        <v>1771.5734908146667</v>
      </c>
      <c r="AC16" s="101">
        <f>AC55*(AC27+AC33)</f>
        <v>1883.3755386589005</v>
      </c>
      <c r="AD16" s="101">
        <f>AD55*(AD27+AD33)</f>
        <v>1797.8999998333529</v>
      </c>
      <c r="AE16" s="101">
        <f>AE55*(AE27+AE33)</f>
        <v>1786.6340444524201</v>
      </c>
      <c r="AF16" s="101">
        <f>AF55*(AF27+AF33)</f>
        <v>1776.0422144755937</v>
      </c>
      <c r="AG16" s="169">
        <f>+AF16</f>
        <v>1776.0422144755937</v>
      </c>
      <c r="AH16" s="101">
        <f>AH55*(AH27+AH33)</f>
        <v>1901.0967453881703</v>
      </c>
      <c r="AI16" s="101">
        <f>AI55*(AI27+AI33)</f>
        <v>1808.6186750465192</v>
      </c>
      <c r="AJ16" s="101">
        <f>AJ55*(AJ27+AJ33)</f>
        <v>1797.1689793504727</v>
      </c>
      <c r="AK16" s="101">
        <f>AK55*(AK27+AK33)</f>
        <v>1785.8148126834899</v>
      </c>
      <c r="AL16" s="169">
        <f>+AK16</f>
        <v>1785.8148126834899</v>
      </c>
      <c r="AM16" s="101">
        <f>AM55*(AM27+AM33)</f>
        <v>1922.4879994793748</v>
      </c>
      <c r="AN16" s="101">
        <f>AN55*(AN27+AN33)</f>
        <v>1822.8715630117917</v>
      </c>
      <c r="AO16" s="101">
        <f>AO55*(AO27+AO33)</f>
        <v>1811.1237842583951</v>
      </c>
      <c r="AP16" s="101">
        <f>AP55*(AP27+AP33)</f>
        <v>1799.4549469665769</v>
      </c>
      <c r="AQ16" s="169">
        <f>+AP16</f>
        <v>1799.4549469665769</v>
      </c>
      <c r="AR16" s="101">
        <f>AR55*(AR27+AR33)</f>
        <v>1948.2320195489522</v>
      </c>
      <c r="AS16" s="101">
        <f>AS55*(AS27+AS33)</f>
        <v>1840.9816660405222</v>
      </c>
      <c r="AT16" s="101">
        <f>AT55*(AT27+AT33)</f>
        <v>1828.9187893622116</v>
      </c>
      <c r="AU16" s="101">
        <f>AU55*(AU27+AU33)</f>
        <v>1816.9434358010662</v>
      </c>
      <c r="AV16" s="17">
        <f>+AU16</f>
        <v>1816.9434358010662</v>
      </c>
    </row>
    <row r="17" spans="1:48" s="8" customFormat="1" outlineLevel="1" x14ac:dyDescent="0.3">
      <c r="A17" s="161"/>
      <c r="B17" s="200" t="s">
        <v>224</v>
      </c>
      <c r="C17" s="206"/>
      <c r="D17" s="16">
        <v>472.7</v>
      </c>
      <c r="E17" s="16">
        <v>464.5</v>
      </c>
      <c r="F17" s="16">
        <v>458</v>
      </c>
      <c r="G17" s="16">
        <v>479.6</v>
      </c>
      <c r="H17" s="17">
        <f t="shared" si="1"/>
        <v>479.6</v>
      </c>
      <c r="I17" s="16">
        <v>484.7</v>
      </c>
      <c r="J17" s="16">
        <v>580.1</v>
      </c>
      <c r="K17" s="16">
        <v>550.79999999999995</v>
      </c>
      <c r="L17" s="101">
        <v>568.6</v>
      </c>
      <c r="M17" s="17">
        <f>+L17</f>
        <v>568.6</v>
      </c>
      <c r="N17" s="16">
        <v>541.1</v>
      </c>
      <c r="O17" s="16">
        <v>574.9</v>
      </c>
      <c r="P17" s="16">
        <v>586.29999999999995</v>
      </c>
      <c r="Q17" s="101">
        <v>578.5</v>
      </c>
      <c r="R17" s="17">
        <f>+Q17</f>
        <v>578.5</v>
      </c>
      <c r="S17" s="16">
        <v>588</v>
      </c>
      <c r="T17" s="16">
        <v>582.79999999999995</v>
      </c>
      <c r="U17" s="101">
        <v>640.70000000000005</v>
      </c>
      <c r="V17" s="33">
        <f>+U17*(V42/U42)</f>
        <v>637.25664391916609</v>
      </c>
      <c r="W17" s="17">
        <f>+V17</f>
        <v>637.25664391916609</v>
      </c>
      <c r="X17" s="33">
        <f>+V17*(X42/V42)</f>
        <v>654.48271963938782</v>
      </c>
      <c r="Y17" s="33">
        <f>+X17*(Y42/X42)</f>
        <v>651.14252556768281</v>
      </c>
      <c r="Z17" s="33">
        <f>+Y17*(Z42/Y42)</f>
        <v>665.6018922691344</v>
      </c>
      <c r="AA17" s="33">
        <f>+Z17*(AA42/Z42)</f>
        <v>672.38045887251747</v>
      </c>
      <c r="AB17" s="17">
        <f>+AA17</f>
        <v>672.38045887251747</v>
      </c>
      <c r="AC17" s="33">
        <f>+AA17*(AC42/AA42)</f>
        <v>698.33733976312487</v>
      </c>
      <c r="AD17" s="33">
        <f>+AC17*(AD42/AC42)</f>
        <v>697.30255539165535</v>
      </c>
      <c r="AE17" s="33">
        <f>+AD17*(AE42/AD42)</f>
        <v>712.37674854059139</v>
      </c>
      <c r="AF17" s="33">
        <f>+AE17*(AF42/AE42)</f>
        <v>721.67822654359713</v>
      </c>
      <c r="AG17" s="17">
        <f>+AF17</f>
        <v>721.67822654359713</v>
      </c>
      <c r="AH17" s="33">
        <f>+AF17*(AH42/AF42)</f>
        <v>749.90575989461536</v>
      </c>
      <c r="AI17" s="33">
        <f>+AH17*(AI42/AH42)</f>
        <v>749.54230248262093</v>
      </c>
      <c r="AJ17" s="33">
        <f>+AI17*(AJ42/AI42)</f>
        <v>775.55363378429627</v>
      </c>
      <c r="AK17" s="33">
        <f>+AJ17*(AK42/AJ42)</f>
        <v>669.93769747455985</v>
      </c>
      <c r="AL17" s="17">
        <f>+AK17</f>
        <v>669.93769747455985</v>
      </c>
      <c r="AM17" s="33">
        <f>+AK17*(AM42/AK42)</f>
        <v>696.82758782045744</v>
      </c>
      <c r="AN17" s="33">
        <f>+AM17*(AN42/AM42)</f>
        <v>692.93767506272286</v>
      </c>
      <c r="AO17" s="33">
        <f>+AN17*(AO42/AN42)</f>
        <v>713.21221217273751</v>
      </c>
      <c r="AP17" s="33">
        <f>+AO17*(AP42/AO42)</f>
        <v>722.89039908877464</v>
      </c>
      <c r="AQ17" s="17">
        <f>+AP17</f>
        <v>722.89039908877464</v>
      </c>
      <c r="AR17" s="33">
        <f>+AP17*(AR42/AP42)</f>
        <v>753.43176405851148</v>
      </c>
      <c r="AS17" s="33">
        <f>+AR17*(AS42/AR42)</f>
        <v>751.32142202994817</v>
      </c>
      <c r="AT17" s="33">
        <f>+AS17*(AT42/AS42)</f>
        <v>774.26265497279223</v>
      </c>
      <c r="AU17" s="33">
        <f>+AT17*(AU42/AT42)</f>
        <v>786.18517197258427</v>
      </c>
      <c r="AV17" s="17">
        <f>+AU17</f>
        <v>786.18517197258427</v>
      </c>
    </row>
    <row r="18" spans="1:48" s="8" customFormat="1" outlineLevel="1" x14ac:dyDescent="0.3">
      <c r="A18" s="161"/>
      <c r="B18" s="200" t="s">
        <v>225</v>
      </c>
      <c r="C18" s="206"/>
      <c r="D18" s="16">
        <v>981.6</v>
      </c>
      <c r="E18" s="16">
        <v>918.3</v>
      </c>
      <c r="F18" s="16">
        <v>853.2</v>
      </c>
      <c r="G18" s="16">
        <v>781.8</v>
      </c>
      <c r="H18" s="17">
        <f t="shared" si="1"/>
        <v>781.8</v>
      </c>
      <c r="I18" s="16">
        <v>739.1</v>
      </c>
      <c r="J18" s="16">
        <v>678.7</v>
      </c>
      <c r="K18" s="16">
        <v>599.6</v>
      </c>
      <c r="L18" s="101">
        <v>552.1</v>
      </c>
      <c r="M18" s="17">
        <f>+L18</f>
        <v>552.1</v>
      </c>
      <c r="N18" s="16">
        <v>506.4</v>
      </c>
      <c r="O18" s="16">
        <v>444.3</v>
      </c>
      <c r="P18" s="16">
        <v>398</v>
      </c>
      <c r="Q18" s="101">
        <v>349.9</v>
      </c>
      <c r="R18" s="17">
        <f>+Q18</f>
        <v>349.9</v>
      </c>
      <c r="S18" s="16">
        <v>302.5</v>
      </c>
      <c r="T18" s="16">
        <v>254.7</v>
      </c>
      <c r="U18" s="101">
        <v>203.4</v>
      </c>
      <c r="V18" s="33">
        <f>+U18*0.92</f>
        <v>187.12800000000001</v>
      </c>
      <c r="W18" s="17">
        <f>+V18</f>
        <v>187.12800000000001</v>
      </c>
      <c r="X18" s="33">
        <f>+V18*0.92</f>
        <v>172.15776000000002</v>
      </c>
      <c r="Y18" s="33">
        <f>+X18*0.92</f>
        <v>158.38513920000003</v>
      </c>
      <c r="Z18" s="33">
        <f>+Y18*0.92</f>
        <v>145.71432806400003</v>
      </c>
      <c r="AA18" s="33">
        <f>+Z18*0.92</f>
        <v>134.05718181888003</v>
      </c>
      <c r="AB18" s="17">
        <f>+AA18</f>
        <v>134.05718181888003</v>
      </c>
      <c r="AC18" s="33">
        <f>+AA18*0.92</f>
        <v>123.33260727336963</v>
      </c>
      <c r="AD18" s="33">
        <f>+AC18*0.92</f>
        <v>113.46599869150006</v>
      </c>
      <c r="AE18" s="33">
        <f>+AD18*0.92</f>
        <v>104.38871879618006</v>
      </c>
      <c r="AF18" s="33">
        <f>+AE18*0.92</f>
        <v>96.037621292485653</v>
      </c>
      <c r="AG18" s="17">
        <f>+AF18</f>
        <v>96.037621292485653</v>
      </c>
      <c r="AH18" s="33">
        <f>+AF18*0.92</f>
        <v>88.354611589086801</v>
      </c>
      <c r="AI18" s="33">
        <f>+AH18*0.92</f>
        <v>81.286242661959861</v>
      </c>
      <c r="AJ18" s="33">
        <f>+AI18*0.92</f>
        <v>74.783343249003082</v>
      </c>
      <c r="AK18" s="33">
        <f>+AJ18*0.92</f>
        <v>68.800675789082831</v>
      </c>
      <c r="AL18" s="17">
        <f>+AK18</f>
        <v>68.800675789082831</v>
      </c>
      <c r="AM18" s="33">
        <f>+AK18*0.92</f>
        <v>63.296621725956207</v>
      </c>
      <c r="AN18" s="33">
        <f>+AM18*0.92</f>
        <v>58.232891987879711</v>
      </c>
      <c r="AO18" s="33">
        <f>+AN18*0.92</f>
        <v>53.574260628849338</v>
      </c>
      <c r="AP18" s="33">
        <f>+AO18*0.92</f>
        <v>49.288319778541393</v>
      </c>
      <c r="AQ18" s="17">
        <f>+AP18</f>
        <v>49.288319778541393</v>
      </c>
      <c r="AR18" s="33">
        <f>+AP18*0.92</f>
        <v>45.345254196258082</v>
      </c>
      <c r="AS18" s="33">
        <f>+AR18*0.92</f>
        <v>41.717633860557434</v>
      </c>
      <c r="AT18" s="33">
        <f>+AS18*0.92</f>
        <v>38.38022315171284</v>
      </c>
      <c r="AU18" s="33">
        <f>+AT18*0.92</f>
        <v>35.309805299575814</v>
      </c>
      <c r="AV18" s="17">
        <f>+AU18</f>
        <v>35.309805299575814</v>
      </c>
    </row>
    <row r="19" spans="1:48" ht="16.2" outlineLevel="1" x14ac:dyDescent="0.45">
      <c r="A19" s="161"/>
      <c r="B19" s="436" t="s">
        <v>226</v>
      </c>
      <c r="C19" s="437"/>
      <c r="D19" s="260">
        <v>3560.3</v>
      </c>
      <c r="E19" s="260">
        <v>3603.5</v>
      </c>
      <c r="F19" s="260">
        <v>3564.7</v>
      </c>
      <c r="G19" s="260">
        <v>3490.8</v>
      </c>
      <c r="H19" s="261">
        <f>G19</f>
        <v>3490.8</v>
      </c>
      <c r="I19" s="260">
        <v>3515.9</v>
      </c>
      <c r="J19" s="260">
        <v>3493</v>
      </c>
      <c r="K19" s="260">
        <v>3510.1</v>
      </c>
      <c r="L19" s="112">
        <v>3597.2</v>
      </c>
      <c r="M19" s="261">
        <f>L19</f>
        <v>3597.2</v>
      </c>
      <c r="N19" s="260">
        <v>3706.8</v>
      </c>
      <c r="O19" s="260">
        <v>3658.9</v>
      </c>
      <c r="P19" s="260">
        <v>3672</v>
      </c>
      <c r="Q19" s="112">
        <v>3677.3</v>
      </c>
      <c r="R19" s="261">
        <f>Q19</f>
        <v>3677.3</v>
      </c>
      <c r="S19" s="260">
        <v>3675.7</v>
      </c>
      <c r="T19" s="260">
        <v>3646.1</v>
      </c>
      <c r="U19" s="112">
        <v>3451.2</v>
      </c>
      <c r="V19" s="32">
        <f>+U19</f>
        <v>3451.2</v>
      </c>
      <c r="W19" s="261">
        <f>V19</f>
        <v>3451.2</v>
      </c>
      <c r="X19" s="32">
        <f>+V19</f>
        <v>3451.2</v>
      </c>
      <c r="Y19" s="32">
        <f>+X19</f>
        <v>3451.2</v>
      </c>
      <c r="Z19" s="32">
        <f>+Y19</f>
        <v>3451.2</v>
      </c>
      <c r="AA19" s="32">
        <f>+Z19</f>
        <v>3451.2</v>
      </c>
      <c r="AB19" s="261">
        <f>AA19</f>
        <v>3451.2</v>
      </c>
      <c r="AC19" s="32">
        <f>+AA19</f>
        <v>3451.2</v>
      </c>
      <c r="AD19" s="32">
        <f>+AC19</f>
        <v>3451.2</v>
      </c>
      <c r="AE19" s="32">
        <f>+AD19</f>
        <v>3451.2</v>
      </c>
      <c r="AF19" s="32">
        <f>+AE19</f>
        <v>3451.2</v>
      </c>
      <c r="AG19" s="261">
        <f>AF19</f>
        <v>3451.2</v>
      </c>
      <c r="AH19" s="32">
        <f>+AF19</f>
        <v>3451.2</v>
      </c>
      <c r="AI19" s="32">
        <f>+AH19</f>
        <v>3451.2</v>
      </c>
      <c r="AJ19" s="32">
        <f>+AI19</f>
        <v>3451.2</v>
      </c>
      <c r="AK19" s="32">
        <f>+AJ19</f>
        <v>3451.2</v>
      </c>
      <c r="AL19" s="261">
        <f>AK19</f>
        <v>3451.2</v>
      </c>
      <c r="AM19" s="32">
        <f>+AK19</f>
        <v>3451.2</v>
      </c>
      <c r="AN19" s="32">
        <f>+AM19</f>
        <v>3451.2</v>
      </c>
      <c r="AO19" s="32">
        <f>+AN19</f>
        <v>3451.2</v>
      </c>
      <c r="AP19" s="32">
        <f>+AO19</f>
        <v>3451.2</v>
      </c>
      <c r="AQ19" s="261">
        <f>AP19</f>
        <v>3451.2</v>
      </c>
      <c r="AR19" s="32">
        <f>+AP19</f>
        <v>3451.2</v>
      </c>
      <c r="AS19" s="32">
        <f>+AR19</f>
        <v>3451.2</v>
      </c>
      <c r="AT19" s="32">
        <f>+AS19</f>
        <v>3451.2</v>
      </c>
      <c r="AU19" s="32">
        <f>+AT19</f>
        <v>3451.2</v>
      </c>
      <c r="AV19" s="261">
        <f>AU19</f>
        <v>3451.2</v>
      </c>
    </row>
    <row r="20" spans="1:48" outlineLevel="1" x14ac:dyDescent="0.3">
      <c r="A20" s="161"/>
      <c r="B20" s="470" t="s">
        <v>227</v>
      </c>
      <c r="C20" s="471"/>
      <c r="D20" s="21">
        <f t="shared" ref="D20:AV20" si="2">+SUM(D11:D19)</f>
        <v>19981.3</v>
      </c>
      <c r="E20" s="21">
        <f t="shared" si="2"/>
        <v>17641.900000000001</v>
      </c>
      <c r="F20" s="21">
        <f t="shared" si="2"/>
        <v>20894.500000000004</v>
      </c>
      <c r="G20" s="21">
        <f t="shared" si="2"/>
        <v>19219.400000000001</v>
      </c>
      <c r="H20" s="22">
        <f t="shared" si="2"/>
        <v>19219.400000000001</v>
      </c>
      <c r="I20" s="21">
        <f t="shared" si="2"/>
        <v>27731.300000000007</v>
      </c>
      <c r="J20" s="21">
        <f t="shared" si="2"/>
        <v>27478.9</v>
      </c>
      <c r="K20" s="21">
        <f t="shared" si="2"/>
        <v>29140.600000000002</v>
      </c>
      <c r="L20" s="21">
        <f t="shared" si="2"/>
        <v>29374.500000000004</v>
      </c>
      <c r="M20" s="22">
        <f t="shared" si="2"/>
        <v>29374.500000000004</v>
      </c>
      <c r="N20" s="21">
        <f t="shared" si="2"/>
        <v>29968.30000000001</v>
      </c>
      <c r="O20" s="21">
        <f t="shared" si="2"/>
        <v>28371.600000000013</v>
      </c>
      <c r="P20" s="21">
        <f t="shared" si="2"/>
        <v>29476.800000000007</v>
      </c>
      <c r="Q20" s="21">
        <f t="shared" si="2"/>
        <v>31392.600000000009</v>
      </c>
      <c r="R20" s="22">
        <f t="shared" si="2"/>
        <v>31392.600000000009</v>
      </c>
      <c r="S20" s="21">
        <f t="shared" si="2"/>
        <v>28833.900000000009</v>
      </c>
      <c r="T20" s="21">
        <f t="shared" si="2"/>
        <v>29021.500000000007</v>
      </c>
      <c r="U20" s="21">
        <f t="shared" si="2"/>
        <v>28156.200000000012</v>
      </c>
      <c r="V20" s="21">
        <f t="shared" si="2"/>
        <v>28004.878285495277</v>
      </c>
      <c r="W20" s="22">
        <f t="shared" si="2"/>
        <v>28004.878285495277</v>
      </c>
      <c r="X20" s="21">
        <f t="shared" si="2"/>
        <v>28761.895349946208</v>
      </c>
      <c r="Y20" s="21">
        <f t="shared" si="2"/>
        <v>28615.107192740434</v>
      </c>
      <c r="Z20" s="21">
        <f t="shared" si="2"/>
        <v>29250.538472152653</v>
      </c>
      <c r="AA20" s="21">
        <f t="shared" si="2"/>
        <v>29548.429336829064</v>
      </c>
      <c r="AB20" s="22">
        <f t="shared" si="2"/>
        <v>29548.429336829064</v>
      </c>
      <c r="AC20" s="21">
        <f t="shared" si="2"/>
        <v>30689.130335318408</v>
      </c>
      <c r="AD20" s="21">
        <f t="shared" si="2"/>
        <v>30643.655704882993</v>
      </c>
      <c r="AE20" s="21">
        <f t="shared" si="2"/>
        <v>31306.106145245212</v>
      </c>
      <c r="AF20" s="21">
        <f t="shared" si="2"/>
        <v>31714.868865626398</v>
      </c>
      <c r="AG20" s="22">
        <f t="shared" si="2"/>
        <v>31714.868865626398</v>
      </c>
      <c r="AH20" s="21">
        <f t="shared" si="2"/>
        <v>32955.355949344113</v>
      </c>
      <c r="AI20" s="21">
        <f t="shared" si="2"/>
        <v>32939.383451164635</v>
      </c>
      <c r="AJ20" s="21">
        <f t="shared" si="2"/>
        <v>34082.477327231791</v>
      </c>
      <c r="AK20" s="21">
        <f t="shared" si="2"/>
        <v>29441.079752822247</v>
      </c>
      <c r="AL20" s="22">
        <f t="shared" si="2"/>
        <v>29441.079752822247</v>
      </c>
      <c r="AM20" s="21">
        <f t="shared" si="2"/>
        <v>30622.782781630049</v>
      </c>
      <c r="AN20" s="21">
        <f t="shared" si="2"/>
        <v>30451.836688935611</v>
      </c>
      <c r="AO20" s="21">
        <f t="shared" si="2"/>
        <v>31342.821427154737</v>
      </c>
      <c r="AP20" s="21">
        <f t="shared" si="2"/>
        <v>31768.138996134498</v>
      </c>
      <c r="AQ20" s="22">
        <f t="shared" si="2"/>
        <v>31768.138996134498</v>
      </c>
      <c r="AR20" s="21">
        <f t="shared" si="2"/>
        <v>33110.309716223317</v>
      </c>
      <c r="AS20" s="21">
        <f t="shared" si="2"/>
        <v>33017.568632682443</v>
      </c>
      <c r="AT20" s="21">
        <f t="shared" si="2"/>
        <v>34025.743976814338</v>
      </c>
      <c r="AU20" s="21">
        <f t="shared" si="2"/>
        <v>34549.690867948317</v>
      </c>
      <c r="AV20" s="22">
        <f t="shared" si="2"/>
        <v>34549.690867948317</v>
      </c>
    </row>
    <row r="21" spans="1:48" ht="17.399999999999999" x14ac:dyDescent="0.45">
      <c r="A21" s="161"/>
      <c r="B21" s="432" t="s">
        <v>228</v>
      </c>
      <c r="C21" s="433"/>
      <c r="D21" s="14" t="s">
        <v>19</v>
      </c>
      <c r="E21" s="14" t="s">
        <v>81</v>
      </c>
      <c r="F21" s="14" t="s">
        <v>85</v>
      </c>
      <c r="G21" s="14" t="s">
        <v>95</v>
      </c>
      <c r="H21" s="40" t="s">
        <v>96</v>
      </c>
      <c r="I21" s="14" t="s">
        <v>97</v>
      </c>
      <c r="J21" s="14" t="s">
        <v>98</v>
      </c>
      <c r="K21" s="14" t="s">
        <v>99</v>
      </c>
      <c r="L21" s="14" t="s">
        <v>142</v>
      </c>
      <c r="M21" s="40" t="s">
        <v>143</v>
      </c>
      <c r="N21" s="14" t="s">
        <v>149</v>
      </c>
      <c r="O21" s="14" t="s">
        <v>157</v>
      </c>
      <c r="P21" s="14" t="s">
        <v>159</v>
      </c>
      <c r="Q21" s="14" t="s">
        <v>172</v>
      </c>
      <c r="R21" s="40" t="s">
        <v>173</v>
      </c>
      <c r="S21" s="14" t="s">
        <v>188</v>
      </c>
      <c r="T21" s="14" t="s">
        <v>189</v>
      </c>
      <c r="U21" s="14" t="s">
        <v>204</v>
      </c>
      <c r="V21" s="12" t="s">
        <v>25</v>
      </c>
      <c r="W21" s="42" t="s">
        <v>26</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164</v>
      </c>
      <c r="AN21" s="12" t="s">
        <v>165</v>
      </c>
      <c r="AO21" s="12" t="s">
        <v>166</v>
      </c>
      <c r="AP21" s="12" t="s">
        <v>167</v>
      </c>
      <c r="AQ21" s="42" t="s">
        <v>168</v>
      </c>
      <c r="AR21" s="12" t="s">
        <v>195</v>
      </c>
      <c r="AS21" s="12" t="s">
        <v>196</v>
      </c>
      <c r="AT21" s="12" t="s">
        <v>197</v>
      </c>
      <c r="AU21" s="12" t="s">
        <v>198</v>
      </c>
      <c r="AV21" s="42" t="s">
        <v>199</v>
      </c>
    </row>
    <row r="22" spans="1:48" s="23" customFormat="1" outlineLevel="1" x14ac:dyDescent="0.3">
      <c r="A22" s="161"/>
      <c r="B22" s="436" t="s">
        <v>229</v>
      </c>
      <c r="C22" s="437"/>
      <c r="D22" s="101">
        <v>1100.5</v>
      </c>
      <c r="E22" s="101">
        <v>1096.7</v>
      </c>
      <c r="F22" s="101">
        <v>1145.4000000000001</v>
      </c>
      <c r="G22" s="101">
        <v>1189.7</v>
      </c>
      <c r="H22" s="169">
        <f t="shared" ref="H22:H29" si="3">G22</f>
        <v>1189.7</v>
      </c>
      <c r="I22" s="101">
        <v>1085.5999999999999</v>
      </c>
      <c r="J22" s="101">
        <v>997.7</v>
      </c>
      <c r="K22" s="101">
        <v>860.8</v>
      </c>
      <c r="L22" s="101">
        <v>997.9</v>
      </c>
      <c r="M22" s="169">
        <f t="shared" ref="M22:M29" si="4">L22</f>
        <v>997.9</v>
      </c>
      <c r="N22" s="101">
        <v>1050.5999999999999</v>
      </c>
      <c r="O22" s="101">
        <v>1033.5999999999999</v>
      </c>
      <c r="P22" s="101">
        <v>1127</v>
      </c>
      <c r="Q22" s="101">
        <v>1211.5999999999999</v>
      </c>
      <c r="R22" s="169">
        <f t="shared" ref="R22:R29" si="5">Q22</f>
        <v>1211.5999999999999</v>
      </c>
      <c r="S22" s="101">
        <v>1289.4000000000001</v>
      </c>
      <c r="T22" s="101">
        <v>1329.5</v>
      </c>
      <c r="U22" s="101">
        <v>1489.8</v>
      </c>
      <c r="V22" s="101">
        <f>('Income Statement &amp; Segments'!V9/V51)</f>
        <v>1378.0521345442075</v>
      </c>
      <c r="W22" s="169">
        <f t="shared" ref="W22:W29" si="6">V22</f>
        <v>1378.0521345442075</v>
      </c>
      <c r="X22" s="101">
        <f>('Income Statement &amp; Segments'!X9/X51)</f>
        <v>1403.0668994410348</v>
      </c>
      <c r="Y22" s="101">
        <f>('Income Statement &amp; Segments'!Y9/Y51)</f>
        <v>1399.2335826901353</v>
      </c>
      <c r="Z22" s="101">
        <f>('Income Statement &amp; Segments'!Z9/Z51)</f>
        <v>1629.2319194841502</v>
      </c>
      <c r="AA22" s="101">
        <f>('Income Statement &amp; Segments'!AA9/AA51)</f>
        <v>1479.9548914419597</v>
      </c>
      <c r="AB22" s="169">
        <f t="shared" ref="AB22:AB29" si="7">AA22</f>
        <v>1479.9548914419597</v>
      </c>
      <c r="AC22" s="101">
        <f>('Income Statement &amp; Segments'!AC9/AC51)</f>
        <v>1537.1799019893897</v>
      </c>
      <c r="AD22" s="101">
        <f>('Income Statement &amp; Segments'!AD9/AD51)</f>
        <v>1524.7999020032589</v>
      </c>
      <c r="AE22" s="101">
        <f>('Income Statement &amp; Segments'!AE9/AE51)</f>
        <v>1747.7690209802097</v>
      </c>
      <c r="AF22" s="101">
        <f>('Income Statement &amp; Segments'!AF9/AF51)</f>
        <v>1659.2382621055442</v>
      </c>
      <c r="AG22" s="169">
        <f t="shared" ref="AG22:AG29" si="8">AF22</f>
        <v>1659.2382621055442</v>
      </c>
      <c r="AH22" s="101">
        <f>('Income Statement &amp; Segments'!AH9/AH51)</f>
        <v>1698.1885458658935</v>
      </c>
      <c r="AI22" s="101">
        <f>('Income Statement &amp; Segments'!AI9/AI51)</f>
        <v>1692.7492627589445</v>
      </c>
      <c r="AJ22" s="101">
        <f>('Income Statement &amp; Segments'!AJ9/AJ51)</f>
        <v>1961.7658455189151</v>
      </c>
      <c r="AK22" s="101">
        <f>('Income Statement &amp; Segments'!AK9/AK51)</f>
        <v>1859.8570077634258</v>
      </c>
      <c r="AL22" s="169">
        <f t="shared" ref="AL22:AL29" si="9">AK22</f>
        <v>1859.8570077634258</v>
      </c>
      <c r="AM22" s="101">
        <f>('Income Statement &amp; Segments'!AM9/AM51)</f>
        <v>1861.0416955112685</v>
      </c>
      <c r="AN22" s="101">
        <f>('Income Statement &amp; Segments'!AN9/AN51)</f>
        <v>1834.0362204097876</v>
      </c>
      <c r="AO22" s="101">
        <f>('Income Statement &amp; Segments'!AO9/AO51)</f>
        <v>2115.7322841733671</v>
      </c>
      <c r="AP22" s="101">
        <f>('Income Statement &amp; Segments'!AP9/AP51)</f>
        <v>2006.2059427801616</v>
      </c>
      <c r="AQ22" s="169">
        <f t="shared" ref="AQ22:AQ29" si="10">AP22</f>
        <v>2006.2059427801616</v>
      </c>
      <c r="AR22" s="101">
        <f>('Income Statement &amp; Segments'!AR9/AR51)</f>
        <v>1983.9182175798808</v>
      </c>
      <c r="AS22" s="101">
        <f>('Income Statement &amp; Segments'!AS9/AS51)</f>
        <v>1955.1668393055454</v>
      </c>
      <c r="AT22" s="101">
        <f>('Income Statement &amp; Segments'!AT9/AT51)</f>
        <v>2245.2852258921503</v>
      </c>
      <c r="AU22" s="101">
        <f>('Income Statement &amp; Segments'!AU9/AU51)</f>
        <v>2133.7442468175009</v>
      </c>
      <c r="AV22" s="169">
        <f t="shared" ref="AV22:AV29" si="11">AU22</f>
        <v>2133.7442468175009</v>
      </c>
    </row>
    <row r="23" spans="1:48" outlineLevel="1" x14ac:dyDescent="0.3">
      <c r="A23" s="161"/>
      <c r="B23" s="436" t="s">
        <v>230</v>
      </c>
      <c r="C23" s="437"/>
      <c r="D23" s="101">
        <v>2564</v>
      </c>
      <c r="E23" s="101">
        <v>2569.3000000000002</v>
      </c>
      <c r="F23" s="101">
        <v>3238.7</v>
      </c>
      <c r="G23" s="101">
        <v>1753.7</v>
      </c>
      <c r="H23" s="169">
        <f t="shared" si="3"/>
        <v>1753.7</v>
      </c>
      <c r="I23" s="101">
        <v>1637.8</v>
      </c>
      <c r="J23" s="101">
        <v>1539</v>
      </c>
      <c r="K23" s="101">
        <v>1511.7</v>
      </c>
      <c r="L23" s="101">
        <v>1160.7</v>
      </c>
      <c r="M23" s="169">
        <f t="shared" si="4"/>
        <v>1160.7</v>
      </c>
      <c r="N23" s="101">
        <v>1616.9</v>
      </c>
      <c r="O23" s="101">
        <v>1771.6</v>
      </c>
      <c r="P23" s="101">
        <v>1791.4</v>
      </c>
      <c r="Q23" s="101">
        <v>1973.2</v>
      </c>
      <c r="R23" s="169">
        <f t="shared" si="5"/>
        <v>1973.2</v>
      </c>
      <c r="S23" s="101">
        <v>2444.3000000000002</v>
      </c>
      <c r="T23" s="101">
        <v>2092.4</v>
      </c>
      <c r="U23" s="101">
        <v>2068.9</v>
      </c>
      <c r="V23" s="33">
        <f>U23</f>
        <v>2068.9</v>
      </c>
      <c r="W23" s="169">
        <f t="shared" si="6"/>
        <v>2068.9</v>
      </c>
      <c r="X23" s="33">
        <f>V23</f>
        <v>2068.9</v>
      </c>
      <c r="Y23" s="33">
        <f>X23</f>
        <v>2068.9</v>
      </c>
      <c r="Z23" s="33">
        <f>Y23</f>
        <v>2068.9</v>
      </c>
      <c r="AA23" s="33">
        <f>Z23</f>
        <v>2068.9</v>
      </c>
      <c r="AB23" s="169">
        <f t="shared" si="7"/>
        <v>2068.9</v>
      </c>
      <c r="AC23" s="33">
        <f>AA23</f>
        <v>2068.9</v>
      </c>
      <c r="AD23" s="33">
        <f>AC23</f>
        <v>2068.9</v>
      </c>
      <c r="AE23" s="33">
        <f>AD23</f>
        <v>2068.9</v>
      </c>
      <c r="AF23" s="33">
        <f>AE23</f>
        <v>2068.9</v>
      </c>
      <c r="AG23" s="169">
        <f t="shared" si="8"/>
        <v>2068.9</v>
      </c>
      <c r="AH23" s="33">
        <f>AF23</f>
        <v>2068.9</v>
      </c>
      <c r="AI23" s="33">
        <f>AH23</f>
        <v>2068.9</v>
      </c>
      <c r="AJ23" s="33">
        <f>AI23</f>
        <v>2068.9</v>
      </c>
      <c r="AK23" s="33">
        <f>AJ23</f>
        <v>2068.9</v>
      </c>
      <c r="AL23" s="169">
        <f t="shared" si="9"/>
        <v>2068.9</v>
      </c>
      <c r="AM23" s="33">
        <f>AK23</f>
        <v>2068.9</v>
      </c>
      <c r="AN23" s="33">
        <f>AM23</f>
        <v>2068.9</v>
      </c>
      <c r="AO23" s="33">
        <f>AN23</f>
        <v>2068.9</v>
      </c>
      <c r="AP23" s="33">
        <f>AO23</f>
        <v>2068.9</v>
      </c>
      <c r="AQ23" s="169">
        <f t="shared" si="10"/>
        <v>2068.9</v>
      </c>
      <c r="AR23" s="33">
        <f>AP23</f>
        <v>2068.9</v>
      </c>
      <c r="AS23" s="33">
        <f>AR23</f>
        <v>2068.9</v>
      </c>
      <c r="AT23" s="33">
        <f>AS23</f>
        <v>2068.9</v>
      </c>
      <c r="AU23" s="33">
        <f>AT23</f>
        <v>2068.9</v>
      </c>
      <c r="AV23" s="169">
        <f t="shared" si="11"/>
        <v>2068.9</v>
      </c>
    </row>
    <row r="24" spans="1:48" outlineLevel="1" x14ac:dyDescent="0.3">
      <c r="A24" s="161"/>
      <c r="B24" s="200" t="s">
        <v>231</v>
      </c>
      <c r="C24" s="201"/>
      <c r="D24" s="101">
        <v>0</v>
      </c>
      <c r="E24" s="101">
        <v>0</v>
      </c>
      <c r="F24" s="101">
        <v>0</v>
      </c>
      <c r="G24" s="101">
        <v>664.6</v>
      </c>
      <c r="H24" s="169">
        <f t="shared" si="3"/>
        <v>664.6</v>
      </c>
      <c r="I24" s="101">
        <v>578.5</v>
      </c>
      <c r="J24" s="101">
        <v>596.1</v>
      </c>
      <c r="K24" s="101">
        <v>652.1</v>
      </c>
      <c r="L24" s="101">
        <v>696</v>
      </c>
      <c r="M24" s="169">
        <f t="shared" si="4"/>
        <v>696</v>
      </c>
      <c r="N24" s="101">
        <v>685.3</v>
      </c>
      <c r="O24" s="101">
        <v>646.1</v>
      </c>
      <c r="P24" s="101">
        <v>741</v>
      </c>
      <c r="Q24" s="101">
        <v>772.3</v>
      </c>
      <c r="R24" s="169">
        <f t="shared" si="5"/>
        <v>772.3</v>
      </c>
      <c r="S24" s="101">
        <v>664.1</v>
      </c>
      <c r="T24" s="101">
        <v>665.9</v>
      </c>
      <c r="U24" s="101">
        <v>706.8</v>
      </c>
      <c r="V24" s="33">
        <f>U24</f>
        <v>706.8</v>
      </c>
      <c r="W24" s="169">
        <f t="shared" si="6"/>
        <v>706.8</v>
      </c>
      <c r="X24" s="33">
        <f>V24</f>
        <v>706.8</v>
      </c>
      <c r="Y24" s="33">
        <f t="shared" ref="Y24:AA25" si="12">X24</f>
        <v>706.8</v>
      </c>
      <c r="Z24" s="33">
        <f t="shared" si="12"/>
        <v>706.8</v>
      </c>
      <c r="AA24" s="33">
        <f t="shared" si="12"/>
        <v>706.8</v>
      </c>
      <c r="AB24" s="169">
        <f t="shared" si="7"/>
        <v>706.8</v>
      </c>
      <c r="AC24" s="33">
        <f>AA24</f>
        <v>706.8</v>
      </c>
      <c r="AD24" s="33">
        <f t="shared" ref="AD24:AF25" si="13">AC24</f>
        <v>706.8</v>
      </c>
      <c r="AE24" s="33">
        <f t="shared" si="13"/>
        <v>706.8</v>
      </c>
      <c r="AF24" s="33">
        <f t="shared" si="13"/>
        <v>706.8</v>
      </c>
      <c r="AG24" s="169">
        <f t="shared" si="8"/>
        <v>706.8</v>
      </c>
      <c r="AH24" s="33">
        <f>AF24</f>
        <v>706.8</v>
      </c>
      <c r="AI24" s="33">
        <f t="shared" ref="AI24:AK25" si="14">AH24</f>
        <v>706.8</v>
      </c>
      <c r="AJ24" s="33">
        <f t="shared" si="14"/>
        <v>706.8</v>
      </c>
      <c r="AK24" s="33">
        <f t="shared" si="14"/>
        <v>706.8</v>
      </c>
      <c r="AL24" s="169">
        <f t="shared" si="9"/>
        <v>706.8</v>
      </c>
      <c r="AM24" s="33">
        <f>AK24</f>
        <v>706.8</v>
      </c>
      <c r="AN24" s="33">
        <f t="shared" ref="AN24:AP25" si="15">AM24</f>
        <v>706.8</v>
      </c>
      <c r="AO24" s="33">
        <f t="shared" si="15"/>
        <v>706.8</v>
      </c>
      <c r="AP24" s="33">
        <f t="shared" si="15"/>
        <v>706.8</v>
      </c>
      <c r="AQ24" s="169">
        <f t="shared" si="10"/>
        <v>706.8</v>
      </c>
      <c r="AR24" s="33">
        <f>AP24</f>
        <v>706.8</v>
      </c>
      <c r="AS24" s="33">
        <f t="shared" ref="AS24:AU25" si="16">AR24</f>
        <v>706.8</v>
      </c>
      <c r="AT24" s="33">
        <f t="shared" si="16"/>
        <v>706.8</v>
      </c>
      <c r="AU24" s="33">
        <f t="shared" si="16"/>
        <v>706.8</v>
      </c>
      <c r="AV24" s="169">
        <f t="shared" si="11"/>
        <v>706.8</v>
      </c>
    </row>
    <row r="25" spans="1:48" outlineLevel="1" x14ac:dyDescent="0.3">
      <c r="A25" s="161"/>
      <c r="B25" s="200" t="s">
        <v>232</v>
      </c>
      <c r="C25" s="201"/>
      <c r="D25" s="101">
        <v>0</v>
      </c>
      <c r="E25" s="101">
        <v>0</v>
      </c>
      <c r="F25" s="101">
        <v>0</v>
      </c>
      <c r="G25" s="101">
        <v>1291.7</v>
      </c>
      <c r="H25" s="169">
        <f t="shared" si="3"/>
        <v>1291.7</v>
      </c>
      <c r="I25" s="101">
        <v>1414</v>
      </c>
      <c r="J25" s="101">
        <v>86.7</v>
      </c>
      <c r="K25" s="101">
        <v>90.9</v>
      </c>
      <c r="L25" s="101">
        <v>98.2</v>
      </c>
      <c r="M25" s="169">
        <f t="shared" si="4"/>
        <v>98.2</v>
      </c>
      <c r="N25" s="101">
        <v>149.69999999999999</v>
      </c>
      <c r="O25" s="101">
        <v>117</v>
      </c>
      <c r="P25" s="101">
        <v>204.8</v>
      </c>
      <c r="Q25" s="101">
        <v>348</v>
      </c>
      <c r="R25" s="169">
        <f t="shared" si="5"/>
        <v>348</v>
      </c>
      <c r="S25" s="101"/>
      <c r="T25" s="101">
        <f>S25</f>
        <v>0</v>
      </c>
      <c r="U25" s="101">
        <f>T25</f>
        <v>0</v>
      </c>
      <c r="V25" s="33">
        <f>U25</f>
        <v>0</v>
      </c>
      <c r="W25" s="169">
        <f t="shared" si="6"/>
        <v>0</v>
      </c>
      <c r="X25" s="33">
        <f>V25</f>
        <v>0</v>
      </c>
      <c r="Y25" s="33">
        <f t="shared" si="12"/>
        <v>0</v>
      </c>
      <c r="Z25" s="33">
        <f t="shared" si="12"/>
        <v>0</v>
      </c>
      <c r="AA25" s="33">
        <f t="shared" si="12"/>
        <v>0</v>
      </c>
      <c r="AB25" s="169">
        <f t="shared" si="7"/>
        <v>0</v>
      </c>
      <c r="AC25" s="33">
        <f>AA25</f>
        <v>0</v>
      </c>
      <c r="AD25" s="33">
        <f t="shared" si="13"/>
        <v>0</v>
      </c>
      <c r="AE25" s="33">
        <f t="shared" si="13"/>
        <v>0</v>
      </c>
      <c r="AF25" s="33">
        <f t="shared" si="13"/>
        <v>0</v>
      </c>
      <c r="AG25" s="169">
        <f t="shared" si="8"/>
        <v>0</v>
      </c>
      <c r="AH25" s="33">
        <f>AF25</f>
        <v>0</v>
      </c>
      <c r="AI25" s="33">
        <f t="shared" si="14"/>
        <v>0</v>
      </c>
      <c r="AJ25" s="33">
        <f t="shared" si="14"/>
        <v>0</v>
      </c>
      <c r="AK25" s="33">
        <f t="shared" si="14"/>
        <v>0</v>
      </c>
      <c r="AL25" s="169">
        <f t="shared" si="9"/>
        <v>0</v>
      </c>
      <c r="AM25" s="33">
        <f>AK25</f>
        <v>0</v>
      </c>
      <c r="AN25" s="33">
        <f t="shared" si="15"/>
        <v>0</v>
      </c>
      <c r="AO25" s="33">
        <f t="shared" si="15"/>
        <v>0</v>
      </c>
      <c r="AP25" s="33">
        <f t="shared" si="15"/>
        <v>0</v>
      </c>
      <c r="AQ25" s="169">
        <f t="shared" si="10"/>
        <v>0</v>
      </c>
      <c r="AR25" s="33">
        <f>AP25</f>
        <v>0</v>
      </c>
      <c r="AS25" s="33">
        <f t="shared" si="16"/>
        <v>0</v>
      </c>
      <c r="AT25" s="33">
        <f t="shared" si="16"/>
        <v>0</v>
      </c>
      <c r="AU25" s="33">
        <f t="shared" si="16"/>
        <v>0</v>
      </c>
      <c r="AV25" s="169">
        <f t="shared" si="11"/>
        <v>0</v>
      </c>
    </row>
    <row r="26" spans="1:48" outlineLevel="1" x14ac:dyDescent="0.3">
      <c r="A26" s="161"/>
      <c r="B26" s="200" t="s">
        <v>233</v>
      </c>
      <c r="C26" s="201"/>
      <c r="D26" s="101">
        <v>0</v>
      </c>
      <c r="E26" s="101">
        <v>0</v>
      </c>
      <c r="F26" s="101">
        <v>0</v>
      </c>
      <c r="G26" s="101">
        <v>0</v>
      </c>
      <c r="H26" s="169">
        <f t="shared" si="3"/>
        <v>0</v>
      </c>
      <c r="I26" s="101">
        <v>1268.9000000000001</v>
      </c>
      <c r="J26" s="101">
        <v>1253.5</v>
      </c>
      <c r="K26" s="101">
        <v>1237.0999999999999</v>
      </c>
      <c r="L26" s="101">
        <v>1248.8</v>
      </c>
      <c r="M26" s="169">
        <f t="shared" si="4"/>
        <v>1248.8</v>
      </c>
      <c r="N26" s="101">
        <v>1267.5999999999999</v>
      </c>
      <c r="O26" s="101">
        <v>1296.4000000000001</v>
      </c>
      <c r="P26" s="101">
        <v>1308.4000000000001</v>
      </c>
      <c r="Q26" s="101">
        <v>1251.3</v>
      </c>
      <c r="R26" s="169">
        <f t="shared" si="5"/>
        <v>1251.3</v>
      </c>
      <c r="S26" s="101">
        <v>1253.3</v>
      </c>
      <c r="T26" s="101">
        <v>1236.3</v>
      </c>
      <c r="U26" s="101">
        <v>1214.8</v>
      </c>
      <c r="V26" s="33">
        <f>U26*0.996</f>
        <v>1209.9407999999999</v>
      </c>
      <c r="W26" s="169">
        <f t="shared" si="6"/>
        <v>1209.9407999999999</v>
      </c>
      <c r="X26" s="33">
        <f>V26*0.996</f>
        <v>1205.1010367999997</v>
      </c>
      <c r="Y26" s="33">
        <f>X26*0.996</f>
        <v>1200.2806326527998</v>
      </c>
      <c r="Z26" s="33">
        <f>Y26*0.996</f>
        <v>1195.4795101221887</v>
      </c>
      <c r="AA26" s="33">
        <f>Z26*0.996</f>
        <v>1190.6975920816999</v>
      </c>
      <c r="AB26" s="169">
        <f t="shared" si="7"/>
        <v>1190.6975920816999</v>
      </c>
      <c r="AC26" s="33">
        <f>AA26*0.996</f>
        <v>1185.9348017133732</v>
      </c>
      <c r="AD26" s="33">
        <f>AC26*0.996</f>
        <v>1181.1910625065198</v>
      </c>
      <c r="AE26" s="33">
        <f>AD26*0.996</f>
        <v>1176.4662982564937</v>
      </c>
      <c r="AF26" s="33">
        <f>AE26*0.996</f>
        <v>1171.7604330634676</v>
      </c>
      <c r="AG26" s="169">
        <f t="shared" si="8"/>
        <v>1171.7604330634676</v>
      </c>
      <c r="AH26" s="33">
        <f>AF26*0.996</f>
        <v>1167.0733913312138</v>
      </c>
      <c r="AI26" s="33">
        <f>AH26*0.996</f>
        <v>1162.405097765889</v>
      </c>
      <c r="AJ26" s="33">
        <f>AI26*0.996</f>
        <v>1157.7554773748254</v>
      </c>
      <c r="AK26" s="33">
        <f>AJ26*0.996</f>
        <v>1153.124455465326</v>
      </c>
      <c r="AL26" s="169">
        <f t="shared" si="9"/>
        <v>1153.124455465326</v>
      </c>
      <c r="AM26" s="33">
        <f>AK26*0.996</f>
        <v>1148.5119576434647</v>
      </c>
      <c r="AN26" s="33">
        <f>AM26*0.996</f>
        <v>1143.9179098128909</v>
      </c>
      <c r="AO26" s="33">
        <f>AN26*0.996</f>
        <v>1139.3422381736393</v>
      </c>
      <c r="AP26" s="33">
        <f>AO26*0.996</f>
        <v>1134.7848692209448</v>
      </c>
      <c r="AQ26" s="169">
        <f t="shared" si="10"/>
        <v>1134.7848692209448</v>
      </c>
      <c r="AR26" s="33">
        <f>AP26*0.996</f>
        <v>1130.245729744061</v>
      </c>
      <c r="AS26" s="33">
        <f>AR26*0.996</f>
        <v>1125.7247468250848</v>
      </c>
      <c r="AT26" s="33">
        <f>AS26*0.996</f>
        <v>1121.2218478377845</v>
      </c>
      <c r="AU26" s="33">
        <f>AT26*0.996</f>
        <v>1116.7369604464334</v>
      </c>
      <c r="AV26" s="169">
        <f t="shared" si="11"/>
        <v>1116.7369604464334</v>
      </c>
    </row>
    <row r="27" spans="1:48" outlineLevel="1" x14ac:dyDescent="0.3">
      <c r="A27" s="161"/>
      <c r="B27" s="200" t="s">
        <v>234</v>
      </c>
      <c r="C27" s="201"/>
      <c r="D27" s="101">
        <v>1554.2</v>
      </c>
      <c r="E27" s="101">
        <v>1311.4</v>
      </c>
      <c r="F27" s="101">
        <v>1300.2</v>
      </c>
      <c r="G27" s="101">
        <v>1269</v>
      </c>
      <c r="H27" s="169">
        <f t="shared" si="3"/>
        <v>1269</v>
      </c>
      <c r="I27" s="101">
        <v>1694.1</v>
      </c>
      <c r="J27" s="101">
        <v>1436.3</v>
      </c>
      <c r="K27" s="101">
        <v>1463.3</v>
      </c>
      <c r="L27" s="101">
        <v>1456.5</v>
      </c>
      <c r="M27" s="169">
        <f t="shared" si="4"/>
        <v>1456.5</v>
      </c>
      <c r="N27" s="101">
        <v>1871.2</v>
      </c>
      <c r="O27" s="101">
        <v>1622.1</v>
      </c>
      <c r="P27" s="101">
        <v>1628.3</v>
      </c>
      <c r="Q27" s="101">
        <v>1596.1</v>
      </c>
      <c r="R27" s="169">
        <f t="shared" si="5"/>
        <v>1596.1</v>
      </c>
      <c r="S27" s="101">
        <v>2070.6999999999998</v>
      </c>
      <c r="T27" s="101">
        <v>1781.6</v>
      </c>
      <c r="U27" s="101">
        <v>1723</v>
      </c>
      <c r="V27" s="33">
        <f>U27*0.99</f>
        <v>1705.77</v>
      </c>
      <c r="W27" s="169">
        <f t="shared" si="6"/>
        <v>1705.77</v>
      </c>
      <c r="X27" s="33">
        <f>V27*1.3</f>
        <v>2217.5010000000002</v>
      </c>
      <c r="Y27" s="33">
        <f>X27*0.85</f>
        <v>1884.8758500000001</v>
      </c>
      <c r="Z27" s="33">
        <f>Y27*0.99</f>
        <v>1866.0270915000001</v>
      </c>
      <c r="AA27" s="33">
        <f>Z27*0.99</f>
        <v>1847.3668205850001</v>
      </c>
      <c r="AB27" s="169">
        <f t="shared" si="7"/>
        <v>1847.3668205850001</v>
      </c>
      <c r="AC27" s="33">
        <f>AA27*1.3</f>
        <v>2401.5768667605003</v>
      </c>
      <c r="AD27" s="33">
        <f>AC27*0.85</f>
        <v>2041.3403367464252</v>
      </c>
      <c r="AE27" s="33">
        <f>AD27*0.99</f>
        <v>2020.9269333789609</v>
      </c>
      <c r="AF27" s="33">
        <f>AE27*0.99</f>
        <v>2000.7176640451712</v>
      </c>
      <c r="AG27" s="169">
        <f t="shared" si="8"/>
        <v>2000.7176640451712</v>
      </c>
      <c r="AH27" s="33">
        <f>AF27*1.3</f>
        <v>2600.9329632587228</v>
      </c>
      <c r="AI27" s="33">
        <f>AH27*0.85</f>
        <v>2210.7930187699144</v>
      </c>
      <c r="AJ27" s="33">
        <f>AI27*0.99</f>
        <v>2188.685088582215</v>
      </c>
      <c r="AK27" s="33">
        <f>AJ27*0.99</f>
        <v>2166.7982376963928</v>
      </c>
      <c r="AL27" s="169">
        <f t="shared" si="9"/>
        <v>2166.7982376963928</v>
      </c>
      <c r="AM27" s="33">
        <f>AK27*1.3</f>
        <v>2816.8377090053109</v>
      </c>
      <c r="AN27" s="33">
        <f>AM27*0.85</f>
        <v>2394.312052654514</v>
      </c>
      <c r="AO27" s="33">
        <f>AN27*0.99</f>
        <v>2370.3689321279689</v>
      </c>
      <c r="AP27" s="33">
        <f>AO27*0.99</f>
        <v>2346.6652428066891</v>
      </c>
      <c r="AQ27" s="169">
        <f t="shared" si="10"/>
        <v>2346.6652428066891</v>
      </c>
      <c r="AR27" s="33">
        <f>AP27*1.3</f>
        <v>3050.6648156486958</v>
      </c>
      <c r="AS27" s="33">
        <f>AR27*0.85</f>
        <v>2593.0650933013912</v>
      </c>
      <c r="AT27" s="33">
        <f>AS27*0.99</f>
        <v>2567.1344423683772</v>
      </c>
      <c r="AU27" s="33">
        <f>AT27*0.99</f>
        <v>2541.4630979446933</v>
      </c>
      <c r="AV27" s="169">
        <f t="shared" si="11"/>
        <v>2541.4630979446933</v>
      </c>
    </row>
    <row r="28" spans="1:48" outlineLevel="1" x14ac:dyDescent="0.3">
      <c r="A28" s="161"/>
      <c r="B28" s="200" t="s">
        <v>235</v>
      </c>
      <c r="C28" s="201"/>
      <c r="D28" s="101">
        <v>0</v>
      </c>
      <c r="E28" s="101">
        <f>75+0</f>
        <v>75</v>
      </c>
      <c r="F28" s="101">
        <v>0</v>
      </c>
      <c r="G28" s="101">
        <v>0</v>
      </c>
      <c r="H28" s="169">
        <f t="shared" si="3"/>
        <v>0</v>
      </c>
      <c r="I28" s="101">
        <f>497.9+498.7</f>
        <v>996.59999999999991</v>
      </c>
      <c r="J28" s="101">
        <f>1107.1+1249.4</f>
        <v>2356.5</v>
      </c>
      <c r="K28" s="101">
        <f>936.5+1249.6</f>
        <v>2186.1</v>
      </c>
      <c r="L28" s="101">
        <f>438.8+1249.9</f>
        <v>1688.7</v>
      </c>
      <c r="M28" s="169">
        <f t="shared" si="4"/>
        <v>1688.7</v>
      </c>
      <c r="N28" s="101">
        <f>492.6+750</f>
        <v>1242.5999999999999</v>
      </c>
      <c r="O28" s="101">
        <v>18.3</v>
      </c>
      <c r="P28" s="101">
        <v>998.9</v>
      </c>
      <c r="Q28" s="101">
        <v>998.9</v>
      </c>
      <c r="R28" s="169">
        <f t="shared" si="5"/>
        <v>998.9</v>
      </c>
      <c r="S28" s="101">
        <f>200+999.3</f>
        <v>1199.3</v>
      </c>
      <c r="T28" s="101">
        <v>1998.6</v>
      </c>
      <c r="U28" s="101">
        <f>200+999.1</f>
        <v>1199.0999999999999</v>
      </c>
      <c r="V28" s="33">
        <f>U28-V59+V60</f>
        <v>1000.0999999999999</v>
      </c>
      <c r="W28" s="169">
        <f t="shared" si="6"/>
        <v>1000.0999999999999</v>
      </c>
      <c r="X28" s="33">
        <f>V28-X59+X60</f>
        <v>1000.0999999999999</v>
      </c>
      <c r="Y28" s="33">
        <f>X28-Y59+Y60</f>
        <v>750.09999999999991</v>
      </c>
      <c r="Z28" s="33">
        <f t="shared" ref="Z28:AA28" si="17">Y28-Z59+Z60</f>
        <v>1876.3999999999999</v>
      </c>
      <c r="AA28" s="33">
        <f t="shared" si="17"/>
        <v>1876.3999999999999</v>
      </c>
      <c r="AB28" s="169">
        <f t="shared" si="7"/>
        <v>1876.3999999999999</v>
      </c>
      <c r="AC28" s="33">
        <f>AA28-AC59+AC60</f>
        <v>1126.3999999999999</v>
      </c>
      <c r="AD28" s="33">
        <f t="shared" ref="AD28:AF28" si="18">AC28-AD59+AD60</f>
        <v>9.9999999999909051E-2</v>
      </c>
      <c r="AE28" s="33">
        <f t="shared" si="18"/>
        <v>9.9999999999909051E-2</v>
      </c>
      <c r="AF28" s="33">
        <f t="shared" si="18"/>
        <v>9.9999999999909051E-2</v>
      </c>
      <c r="AG28" s="169">
        <f t="shared" si="8"/>
        <v>9.9999999999909051E-2</v>
      </c>
      <c r="AH28" s="33">
        <f>AF28-AH59+AH60</f>
        <v>1250.0999999999999</v>
      </c>
      <c r="AI28" s="33">
        <f t="shared" ref="AI28:AK28" si="19">AH28-AI59+AI60</f>
        <v>1250.0999999999999</v>
      </c>
      <c r="AJ28" s="33">
        <f t="shared" si="19"/>
        <v>1250.0999999999999</v>
      </c>
      <c r="AK28" s="33">
        <f t="shared" si="19"/>
        <v>500.09999999999991</v>
      </c>
      <c r="AL28" s="169">
        <f t="shared" si="9"/>
        <v>500.09999999999991</v>
      </c>
      <c r="AM28" s="33">
        <f>AK28-AM59+AM60</f>
        <v>500.09999999999991</v>
      </c>
      <c r="AN28" s="33">
        <f t="shared" ref="AN28:AP28" si="20">AM28-AN59+AN60</f>
        <v>500.09999999999991</v>
      </c>
      <c r="AO28" s="33">
        <f t="shared" si="20"/>
        <v>500.09999999999991</v>
      </c>
      <c r="AP28" s="33">
        <f t="shared" si="20"/>
        <v>500.09999999999991</v>
      </c>
      <c r="AQ28" s="169">
        <f t="shared" si="10"/>
        <v>500.09999999999991</v>
      </c>
      <c r="AR28" s="33">
        <f>AP28-AR59+AR60</f>
        <v>500.09999999999991</v>
      </c>
      <c r="AS28" s="33">
        <f t="shared" ref="AS28:AU28" si="21">AR28-AS59+AS60</f>
        <v>9.9999999999909051E-2</v>
      </c>
      <c r="AT28" s="33">
        <f t="shared" si="21"/>
        <v>9.9999999999909051E-2</v>
      </c>
      <c r="AU28" s="33">
        <f t="shared" si="21"/>
        <v>9.9999999999909051E-2</v>
      </c>
      <c r="AV28" s="169">
        <f t="shared" si="11"/>
        <v>9.9999999999909051E-2</v>
      </c>
    </row>
    <row r="29" spans="1:48" ht="16.2" outlineLevel="1" x14ac:dyDescent="0.45">
      <c r="A29" s="161"/>
      <c r="B29" s="200" t="s">
        <v>236</v>
      </c>
      <c r="C29" s="201"/>
      <c r="D29" s="112">
        <v>208.8</v>
      </c>
      <c r="E29" s="112">
        <v>221</v>
      </c>
      <c r="F29" s="112">
        <v>211.5</v>
      </c>
      <c r="G29" s="112">
        <v>0</v>
      </c>
      <c r="H29" s="262">
        <f t="shared" si="3"/>
        <v>0</v>
      </c>
      <c r="I29" s="112">
        <v>0</v>
      </c>
      <c r="J29" s="112">
        <v>0</v>
      </c>
      <c r="K29" s="112">
        <v>0</v>
      </c>
      <c r="L29" s="112">
        <v>0</v>
      </c>
      <c r="M29" s="262">
        <f t="shared" si="4"/>
        <v>0</v>
      </c>
      <c r="N29" s="112">
        <v>0</v>
      </c>
      <c r="O29" s="112">
        <v>0</v>
      </c>
      <c r="P29" s="112">
        <v>0</v>
      </c>
      <c r="Q29" s="112">
        <v>0</v>
      </c>
      <c r="R29" s="262">
        <f t="shared" si="5"/>
        <v>0</v>
      </c>
      <c r="S29" s="112">
        <v>0</v>
      </c>
      <c r="T29" s="112">
        <v>0</v>
      </c>
      <c r="U29" s="112">
        <v>0</v>
      </c>
      <c r="V29" s="32">
        <v>0</v>
      </c>
      <c r="W29" s="262">
        <f t="shared" si="6"/>
        <v>0</v>
      </c>
      <c r="X29" s="32">
        <v>0</v>
      </c>
      <c r="Y29" s="32">
        <v>0</v>
      </c>
      <c r="Z29" s="32">
        <v>0</v>
      </c>
      <c r="AA29" s="32">
        <v>0</v>
      </c>
      <c r="AB29" s="262">
        <f t="shared" si="7"/>
        <v>0</v>
      </c>
      <c r="AC29" s="32">
        <v>0</v>
      </c>
      <c r="AD29" s="32">
        <v>0</v>
      </c>
      <c r="AE29" s="32">
        <v>0</v>
      </c>
      <c r="AF29" s="32">
        <v>0</v>
      </c>
      <c r="AG29" s="262">
        <f t="shared" si="8"/>
        <v>0</v>
      </c>
      <c r="AH29" s="32">
        <v>0</v>
      </c>
      <c r="AI29" s="32">
        <v>0</v>
      </c>
      <c r="AJ29" s="32">
        <v>0</v>
      </c>
      <c r="AK29" s="32">
        <v>0</v>
      </c>
      <c r="AL29" s="262">
        <f t="shared" si="9"/>
        <v>0</v>
      </c>
      <c r="AM29" s="32">
        <v>0</v>
      </c>
      <c r="AN29" s="32">
        <v>0</v>
      </c>
      <c r="AO29" s="32">
        <v>0</v>
      </c>
      <c r="AP29" s="32">
        <v>0</v>
      </c>
      <c r="AQ29" s="262">
        <f t="shared" si="10"/>
        <v>0</v>
      </c>
      <c r="AR29" s="32">
        <v>0</v>
      </c>
      <c r="AS29" s="32">
        <v>0</v>
      </c>
      <c r="AT29" s="32">
        <v>0</v>
      </c>
      <c r="AU29" s="32">
        <v>0</v>
      </c>
      <c r="AV29" s="262">
        <f t="shared" si="11"/>
        <v>0</v>
      </c>
    </row>
    <row r="30" spans="1:48" outlineLevel="1" x14ac:dyDescent="0.3">
      <c r="A30" s="161"/>
      <c r="B30" s="205" t="s">
        <v>237</v>
      </c>
      <c r="C30" s="201"/>
      <c r="D30" s="116">
        <f t="shared" ref="D30:K30" si="22">SUM(D22:D29)</f>
        <v>5427.5</v>
      </c>
      <c r="E30" s="116">
        <f t="shared" si="22"/>
        <v>5273.4</v>
      </c>
      <c r="F30" s="116">
        <f t="shared" si="22"/>
        <v>5895.8</v>
      </c>
      <c r="G30" s="116">
        <f t="shared" si="22"/>
        <v>6168.7</v>
      </c>
      <c r="H30" s="150">
        <f t="shared" si="22"/>
        <v>6168.7</v>
      </c>
      <c r="I30" s="116">
        <f t="shared" si="22"/>
        <v>8675.5</v>
      </c>
      <c r="J30" s="116">
        <f t="shared" si="22"/>
        <v>8265.7999999999993</v>
      </c>
      <c r="K30" s="116">
        <f t="shared" si="22"/>
        <v>8002</v>
      </c>
      <c r="L30" s="116">
        <f t="shared" ref="L30:AV30" si="23">SUM(L22:L28)</f>
        <v>7346.7999999999993</v>
      </c>
      <c r="M30" s="150">
        <f t="shared" si="23"/>
        <v>7346.7999999999993</v>
      </c>
      <c r="N30" s="116">
        <f t="shared" si="23"/>
        <v>7883.9</v>
      </c>
      <c r="O30" s="116">
        <f t="shared" si="23"/>
        <v>6505.0999999999995</v>
      </c>
      <c r="P30" s="116">
        <f t="shared" si="23"/>
        <v>7799.8</v>
      </c>
      <c r="Q30" s="116">
        <f t="shared" si="23"/>
        <v>8151.4</v>
      </c>
      <c r="R30" s="150">
        <f t="shared" si="23"/>
        <v>8151.4</v>
      </c>
      <c r="S30" s="116">
        <f t="shared" si="23"/>
        <v>8921.1</v>
      </c>
      <c r="T30" s="116">
        <f t="shared" si="23"/>
        <v>9104.3000000000011</v>
      </c>
      <c r="U30" s="116">
        <f t="shared" si="23"/>
        <v>8402.4</v>
      </c>
      <c r="V30" s="116">
        <f t="shared" si="23"/>
        <v>8069.5629345442085</v>
      </c>
      <c r="W30" s="150">
        <f t="shared" si="23"/>
        <v>8069.5629345442085</v>
      </c>
      <c r="X30" s="116">
        <f t="shared" si="23"/>
        <v>8601.4689362410354</v>
      </c>
      <c r="Y30" s="116">
        <f t="shared" si="23"/>
        <v>8010.1900653429348</v>
      </c>
      <c r="Z30" s="116">
        <f t="shared" si="23"/>
        <v>9342.8385211063396</v>
      </c>
      <c r="AA30" s="116">
        <f t="shared" si="23"/>
        <v>9170.1193041086608</v>
      </c>
      <c r="AB30" s="150">
        <f t="shared" si="23"/>
        <v>9170.1193041086608</v>
      </c>
      <c r="AC30" s="116">
        <f t="shared" si="23"/>
        <v>9026.7915704632633</v>
      </c>
      <c r="AD30" s="116">
        <f t="shared" si="23"/>
        <v>7523.1313012562041</v>
      </c>
      <c r="AE30" s="116">
        <f t="shared" si="23"/>
        <v>7720.9622526156636</v>
      </c>
      <c r="AF30" s="116">
        <f t="shared" si="23"/>
        <v>7607.5163592141835</v>
      </c>
      <c r="AG30" s="150">
        <f t="shared" si="23"/>
        <v>7607.5163592141835</v>
      </c>
      <c r="AH30" s="116">
        <f t="shared" si="23"/>
        <v>9491.9949004558312</v>
      </c>
      <c r="AI30" s="116">
        <f t="shared" si="23"/>
        <v>9091.7473792947476</v>
      </c>
      <c r="AJ30" s="116">
        <f t="shared" si="23"/>
        <v>9334.0064114759552</v>
      </c>
      <c r="AK30" s="116">
        <f t="shared" si="23"/>
        <v>8455.5797009251437</v>
      </c>
      <c r="AL30" s="150">
        <f t="shared" si="23"/>
        <v>8455.5797009251437</v>
      </c>
      <c r="AM30" s="116">
        <f t="shared" si="23"/>
        <v>9102.1913621600452</v>
      </c>
      <c r="AN30" s="116">
        <f t="shared" si="23"/>
        <v>8648.0661828771936</v>
      </c>
      <c r="AO30" s="116">
        <f t="shared" si="23"/>
        <v>8901.2434544749758</v>
      </c>
      <c r="AP30" s="116">
        <f t="shared" si="23"/>
        <v>8763.4560548077952</v>
      </c>
      <c r="AQ30" s="150">
        <f t="shared" si="23"/>
        <v>8763.4560548077952</v>
      </c>
      <c r="AR30" s="116">
        <f t="shared" si="23"/>
        <v>9440.6287629726376</v>
      </c>
      <c r="AS30" s="116">
        <f t="shared" si="23"/>
        <v>8449.7566794320228</v>
      </c>
      <c r="AT30" s="116">
        <f t="shared" si="23"/>
        <v>8709.4415160983117</v>
      </c>
      <c r="AU30" s="116">
        <f t="shared" si="23"/>
        <v>8567.7443052086292</v>
      </c>
      <c r="AV30" s="150">
        <f t="shared" si="23"/>
        <v>8567.7443052086292</v>
      </c>
    </row>
    <row r="31" spans="1:48" outlineLevel="1" x14ac:dyDescent="0.3">
      <c r="A31" s="161"/>
      <c r="B31" s="200" t="s">
        <v>238</v>
      </c>
      <c r="C31" s="201"/>
      <c r="D31" s="101">
        <v>9130.7000000000007</v>
      </c>
      <c r="E31" s="101">
        <v>9141.5</v>
      </c>
      <c r="F31" s="101">
        <v>11159.1</v>
      </c>
      <c r="G31" s="101">
        <v>11167</v>
      </c>
      <c r="H31" s="169">
        <f>G31</f>
        <v>11167</v>
      </c>
      <c r="I31" s="101">
        <v>10653.2</v>
      </c>
      <c r="J31" s="101">
        <v>11658.7</v>
      </c>
      <c r="K31" s="101">
        <v>14645.6</v>
      </c>
      <c r="L31" s="101">
        <v>14659.6</v>
      </c>
      <c r="M31" s="169">
        <f>L31</f>
        <v>14659.6</v>
      </c>
      <c r="N31" s="101">
        <v>14673.5</v>
      </c>
      <c r="O31" s="101">
        <v>14630.3</v>
      </c>
      <c r="P31" s="101">
        <v>13619.2</v>
      </c>
      <c r="Q31" s="101">
        <v>13616.9</v>
      </c>
      <c r="R31" s="169">
        <f>Q31</f>
        <v>13616.9</v>
      </c>
      <c r="S31" s="101">
        <v>13586.3</v>
      </c>
      <c r="T31" s="101">
        <v>14014.4</v>
      </c>
      <c r="U31" s="101">
        <v>13930.8</v>
      </c>
      <c r="V31" s="33">
        <f>U31-V60+V61</f>
        <v>13930.8</v>
      </c>
      <c r="W31" s="169">
        <f>V31</f>
        <v>13930.8</v>
      </c>
      <c r="X31" s="33">
        <f>V31-X60+X61</f>
        <v>13930.8</v>
      </c>
      <c r="Y31" s="33">
        <f>X31-Y60+Y61</f>
        <v>14180.8</v>
      </c>
      <c r="Z31" s="33">
        <f>Y31-Z60+Z61</f>
        <v>13054.5</v>
      </c>
      <c r="AA31" s="33">
        <f>Z31-AA60+AA61</f>
        <v>13054.5</v>
      </c>
      <c r="AB31" s="169">
        <f>AA31</f>
        <v>13054.5</v>
      </c>
      <c r="AC31" s="33">
        <f>AA31-AC60+AC61</f>
        <v>13804.5</v>
      </c>
      <c r="AD31" s="33">
        <f>AC31-AD60+AD61</f>
        <v>14930.5</v>
      </c>
      <c r="AE31" s="33">
        <f>AD31-AE60+AE61</f>
        <v>14930.5</v>
      </c>
      <c r="AF31" s="33">
        <f>AE31-AF60+AF61</f>
        <v>15030.5</v>
      </c>
      <c r="AG31" s="169">
        <f>AF31</f>
        <v>15030.5</v>
      </c>
      <c r="AH31" s="33">
        <f>AF31-AH60+AH61</f>
        <v>13780.5</v>
      </c>
      <c r="AI31" s="33">
        <f>AH31-AI60+AI61</f>
        <v>13780.5</v>
      </c>
      <c r="AJ31" s="33">
        <f>AI31-AJ60+AJ61</f>
        <v>19071.09838285108</v>
      </c>
      <c r="AK31" s="33">
        <f>AJ31-AK60+AK61</f>
        <v>19821.09838285108</v>
      </c>
      <c r="AL31" s="169">
        <f>AK31</f>
        <v>19821.09838285108</v>
      </c>
      <c r="AM31" s="33">
        <f>AK31-AM60+AM61</f>
        <v>19821.09838285108</v>
      </c>
      <c r="AN31" s="33">
        <f>AM31-AN60+AN61</f>
        <v>19821.09838285108</v>
      </c>
      <c r="AO31" s="33">
        <f>AN31-AO60+AO61</f>
        <v>19821.09838285108</v>
      </c>
      <c r="AP31" s="33">
        <f>AO31-AP60+AP61</f>
        <v>19821.09838285108</v>
      </c>
      <c r="AQ31" s="169">
        <f>AP31</f>
        <v>19821.09838285108</v>
      </c>
      <c r="AR31" s="33">
        <f>AP31-AR60+AR61</f>
        <v>19821.09838285108</v>
      </c>
      <c r="AS31" s="33">
        <f>AR31-AS60+AS61</f>
        <v>20321.09838285108</v>
      </c>
      <c r="AT31" s="33">
        <f>AS31-AT60+AT61</f>
        <v>20321.09838285108</v>
      </c>
      <c r="AU31" s="33">
        <f>AT31-AU60+AU61</f>
        <v>20321.09838285108</v>
      </c>
      <c r="AV31" s="169">
        <f>AU31</f>
        <v>20321.09838285108</v>
      </c>
    </row>
    <row r="32" spans="1:48" outlineLevel="1" x14ac:dyDescent="0.3">
      <c r="A32" s="161"/>
      <c r="B32" s="200" t="s">
        <v>239</v>
      </c>
      <c r="C32" s="207"/>
      <c r="D32" s="101">
        <v>0</v>
      </c>
      <c r="E32" s="101">
        <v>0</v>
      </c>
      <c r="F32" s="101">
        <v>0</v>
      </c>
      <c r="G32" s="101">
        <v>0</v>
      </c>
      <c r="H32" s="169">
        <f>G32</f>
        <v>0</v>
      </c>
      <c r="I32" s="101">
        <v>7711.7</v>
      </c>
      <c r="J32" s="101">
        <v>7650.4</v>
      </c>
      <c r="K32" s="101">
        <v>7653.6</v>
      </c>
      <c r="L32" s="101">
        <v>7661.7</v>
      </c>
      <c r="M32" s="169">
        <f>L32</f>
        <v>7661.7</v>
      </c>
      <c r="N32" s="101">
        <v>7754.5</v>
      </c>
      <c r="O32" s="101">
        <v>7577.7</v>
      </c>
      <c r="P32" s="101">
        <v>7597.8</v>
      </c>
      <c r="Q32" s="101">
        <v>7738</v>
      </c>
      <c r="R32" s="169">
        <f>Q32</f>
        <v>7738</v>
      </c>
      <c r="S32" s="101">
        <v>7708</v>
      </c>
      <c r="T32" s="101">
        <v>7668.5</v>
      </c>
      <c r="U32" s="101">
        <v>7554.4</v>
      </c>
      <c r="V32" s="33">
        <f>U32*0.996</f>
        <v>7524.1823999999997</v>
      </c>
      <c r="W32" s="169">
        <f>V32</f>
        <v>7524.1823999999997</v>
      </c>
      <c r="X32" s="33">
        <f>V32*0.996</f>
        <v>7494.0856703999998</v>
      </c>
      <c r="Y32" s="33">
        <f t="shared" ref="Y32:AA32" si="24">X32*0.996</f>
        <v>7464.1093277184</v>
      </c>
      <c r="Z32" s="33">
        <f t="shared" si="24"/>
        <v>7434.2528904075261</v>
      </c>
      <c r="AA32" s="33">
        <f t="shared" si="24"/>
        <v>7404.5158788458957</v>
      </c>
      <c r="AB32" s="169">
        <f>AA32</f>
        <v>7404.5158788458957</v>
      </c>
      <c r="AC32" s="33">
        <f>AA32*0.996</f>
        <v>7374.8978153305125</v>
      </c>
      <c r="AD32" s="33">
        <f t="shared" ref="AD32:AF32" si="25">AC32*0.996</f>
        <v>7345.3982240691903</v>
      </c>
      <c r="AE32" s="33">
        <f t="shared" si="25"/>
        <v>7316.0166311729135</v>
      </c>
      <c r="AF32" s="33">
        <f t="shared" si="25"/>
        <v>7286.7525646482218</v>
      </c>
      <c r="AG32" s="169">
        <f>AF32</f>
        <v>7286.7525646482218</v>
      </c>
      <c r="AH32" s="33">
        <f>AF32*0.996</f>
        <v>7257.6055543896291</v>
      </c>
      <c r="AI32" s="33">
        <f t="shared" ref="AI32:AK32" si="26">AH32*0.996</f>
        <v>7228.5751321720709</v>
      </c>
      <c r="AJ32" s="33">
        <f t="shared" si="26"/>
        <v>7199.6608316433822</v>
      </c>
      <c r="AK32" s="33">
        <f t="shared" si="26"/>
        <v>7170.8621883168089</v>
      </c>
      <c r="AL32" s="169">
        <f>AK32</f>
        <v>7170.8621883168089</v>
      </c>
      <c r="AM32" s="33">
        <f>AK32*0.996</f>
        <v>7142.178739563542</v>
      </c>
      <c r="AN32" s="33">
        <f t="shared" ref="AN32:AP32" si="27">AM32*0.996</f>
        <v>7113.6100246052874</v>
      </c>
      <c r="AO32" s="33">
        <f t="shared" si="27"/>
        <v>7085.155584506866</v>
      </c>
      <c r="AP32" s="33">
        <f t="shared" si="27"/>
        <v>7056.814962168839</v>
      </c>
      <c r="AQ32" s="169">
        <f>AP32</f>
        <v>7056.814962168839</v>
      </c>
      <c r="AR32" s="33">
        <f>AP32*0.996</f>
        <v>7028.5877023201638</v>
      </c>
      <c r="AS32" s="33">
        <f t="shared" ref="AS32:AU32" si="28">AR32*0.996</f>
        <v>7000.4733515108828</v>
      </c>
      <c r="AT32" s="33">
        <f t="shared" si="28"/>
        <v>6972.4714581048393</v>
      </c>
      <c r="AU32" s="33">
        <f t="shared" si="28"/>
        <v>6944.5815722724201</v>
      </c>
      <c r="AV32" s="169">
        <f>AU32</f>
        <v>6944.5815722724201</v>
      </c>
    </row>
    <row r="33" spans="1:48" outlineLevel="1" x14ac:dyDescent="0.3">
      <c r="A33" s="161"/>
      <c r="B33" s="200" t="s">
        <v>240</v>
      </c>
      <c r="C33" s="207"/>
      <c r="D33" s="101">
        <v>6823.7</v>
      </c>
      <c r="E33" s="101">
        <v>6761.9</v>
      </c>
      <c r="F33" s="101">
        <v>6717.9</v>
      </c>
      <c r="G33" s="101">
        <v>6744.4</v>
      </c>
      <c r="H33" s="169">
        <f>G33</f>
        <v>6744.4</v>
      </c>
      <c r="I33" s="101">
        <v>6748.8</v>
      </c>
      <c r="J33" s="101">
        <v>6685.5</v>
      </c>
      <c r="K33" s="101">
        <v>6642.6</v>
      </c>
      <c r="L33" s="101">
        <v>6598.5</v>
      </c>
      <c r="M33" s="169">
        <f>L33</f>
        <v>6598.5</v>
      </c>
      <c r="N33" s="101">
        <v>6597.7</v>
      </c>
      <c r="O33" s="101">
        <v>6532.1</v>
      </c>
      <c r="P33" s="101">
        <v>6491.4</v>
      </c>
      <c r="Q33" s="101">
        <v>6463</v>
      </c>
      <c r="R33" s="169">
        <f>Q33</f>
        <v>6463</v>
      </c>
      <c r="S33" s="101">
        <v>6447.7</v>
      </c>
      <c r="T33" s="101">
        <v>6381.9</v>
      </c>
      <c r="U33" s="101">
        <v>6333.1</v>
      </c>
      <c r="V33" s="33">
        <f>U33*0.995</f>
        <v>6301.4345000000003</v>
      </c>
      <c r="W33" s="169">
        <f>V33</f>
        <v>6301.4345000000003</v>
      </c>
      <c r="X33" s="33">
        <f>V33*0.995</f>
        <v>6269.9273275000005</v>
      </c>
      <c r="Y33" s="33">
        <f>X33*0.995</f>
        <v>6238.5776908625003</v>
      </c>
      <c r="Z33" s="33">
        <f>Y33*0.995</f>
        <v>6207.3848024081881</v>
      </c>
      <c r="AA33" s="33">
        <f>Z33*0.995</f>
        <v>6176.3478783961473</v>
      </c>
      <c r="AB33" s="169">
        <f>AA33</f>
        <v>6176.3478783961473</v>
      </c>
      <c r="AC33" s="33">
        <f>AA33*0.995</f>
        <v>6145.4661390041665</v>
      </c>
      <c r="AD33" s="33">
        <f>AC33*0.995</f>
        <v>6114.7388083091455</v>
      </c>
      <c r="AE33" s="33">
        <f>AD33*0.995</f>
        <v>6084.1651142676001</v>
      </c>
      <c r="AF33" s="33">
        <f>AE33*0.995</f>
        <v>6053.7442886962617</v>
      </c>
      <c r="AG33" s="169">
        <f>AF33</f>
        <v>6053.7442886962617</v>
      </c>
      <c r="AH33" s="33">
        <f>AF33*0.995</f>
        <v>6023.4755672527808</v>
      </c>
      <c r="AI33" s="33">
        <f>AH33*0.995</f>
        <v>5993.3581894165172</v>
      </c>
      <c r="AJ33" s="33">
        <f>AI33*0.995</f>
        <v>5963.3913984694345</v>
      </c>
      <c r="AK33" s="33">
        <f>AJ33*0.995</f>
        <v>5933.574441477087</v>
      </c>
      <c r="AL33" s="169">
        <f>AK33</f>
        <v>5933.574441477087</v>
      </c>
      <c r="AM33" s="33">
        <f>AK33*0.995</f>
        <v>5903.9065692697013</v>
      </c>
      <c r="AN33" s="33">
        <f>AM33*0.995</f>
        <v>5874.3870364233526</v>
      </c>
      <c r="AO33" s="33">
        <f>AN33*0.995</f>
        <v>5845.0151012412362</v>
      </c>
      <c r="AP33" s="33">
        <f>AO33*0.995</f>
        <v>5815.7900257350302</v>
      </c>
      <c r="AQ33" s="169">
        <f>AP33</f>
        <v>5815.7900257350302</v>
      </c>
      <c r="AR33" s="33">
        <f>AP33*0.995</f>
        <v>5786.7110756063548</v>
      </c>
      <c r="AS33" s="33">
        <f>AR33*0.995</f>
        <v>5757.7775202283228</v>
      </c>
      <c r="AT33" s="33">
        <f>AS33*0.995</f>
        <v>5728.9886326271808</v>
      </c>
      <c r="AU33" s="33">
        <f>AT33*0.995</f>
        <v>5700.3436894640445</v>
      </c>
      <c r="AV33" s="169">
        <f>AU33</f>
        <v>5700.3436894640445</v>
      </c>
    </row>
    <row r="34" spans="1:48" ht="15.75" customHeight="1" outlineLevel="1" x14ac:dyDescent="0.45">
      <c r="A34" s="161"/>
      <c r="B34" s="436" t="s">
        <v>241</v>
      </c>
      <c r="C34" s="437"/>
      <c r="D34" s="112">
        <v>1478.2</v>
      </c>
      <c r="E34" s="112">
        <v>1500.3</v>
      </c>
      <c r="F34" s="112">
        <v>1440.6</v>
      </c>
      <c r="G34" s="112">
        <v>1370.5</v>
      </c>
      <c r="H34" s="262">
        <f>G34</f>
        <v>1370.5</v>
      </c>
      <c r="I34" s="112">
        <v>701.2</v>
      </c>
      <c r="J34" s="112">
        <v>751.4</v>
      </c>
      <c r="K34" s="112">
        <v>821.1</v>
      </c>
      <c r="L34" s="112">
        <v>907.3</v>
      </c>
      <c r="M34" s="262">
        <f>L34</f>
        <v>907.3</v>
      </c>
      <c r="N34" s="112">
        <v>962.8</v>
      </c>
      <c r="O34" s="112">
        <v>774.8</v>
      </c>
      <c r="P34" s="112">
        <v>762.9</v>
      </c>
      <c r="Q34" s="112">
        <v>737.8</v>
      </c>
      <c r="R34" s="262">
        <f>Q34</f>
        <v>737.8</v>
      </c>
      <c r="S34" s="112">
        <v>621.1</v>
      </c>
      <c r="T34" s="112">
        <v>613.6</v>
      </c>
      <c r="U34" s="112">
        <v>594.4</v>
      </c>
      <c r="V34" s="32">
        <f>U34</f>
        <v>594.4</v>
      </c>
      <c r="W34" s="262">
        <f>V34</f>
        <v>594.4</v>
      </c>
      <c r="X34" s="32">
        <f>V34</f>
        <v>594.4</v>
      </c>
      <c r="Y34" s="32">
        <f>X34</f>
        <v>594.4</v>
      </c>
      <c r="Z34" s="32">
        <f>Y34</f>
        <v>594.4</v>
      </c>
      <c r="AA34" s="32">
        <f>Z34</f>
        <v>594.4</v>
      </c>
      <c r="AB34" s="262">
        <f>AA34</f>
        <v>594.4</v>
      </c>
      <c r="AC34" s="32">
        <f>AA34</f>
        <v>594.4</v>
      </c>
      <c r="AD34" s="32">
        <f>AC34</f>
        <v>594.4</v>
      </c>
      <c r="AE34" s="32">
        <f>AD34</f>
        <v>594.4</v>
      </c>
      <c r="AF34" s="32">
        <f>AE34</f>
        <v>594.4</v>
      </c>
      <c r="AG34" s="262">
        <f>AF34</f>
        <v>594.4</v>
      </c>
      <c r="AH34" s="32">
        <f>AF34</f>
        <v>594.4</v>
      </c>
      <c r="AI34" s="32">
        <f>AH34</f>
        <v>594.4</v>
      </c>
      <c r="AJ34" s="32">
        <f>AI34</f>
        <v>594.4</v>
      </c>
      <c r="AK34" s="32">
        <f>AJ34</f>
        <v>594.4</v>
      </c>
      <c r="AL34" s="262">
        <f>AK34</f>
        <v>594.4</v>
      </c>
      <c r="AM34" s="32">
        <f>AK34</f>
        <v>594.4</v>
      </c>
      <c r="AN34" s="32">
        <f>AM34</f>
        <v>594.4</v>
      </c>
      <c r="AO34" s="32">
        <f>AN34</f>
        <v>594.4</v>
      </c>
      <c r="AP34" s="32">
        <f>AO34</f>
        <v>594.4</v>
      </c>
      <c r="AQ34" s="262">
        <f>AP34</f>
        <v>594.4</v>
      </c>
      <c r="AR34" s="32">
        <f>AP34</f>
        <v>594.4</v>
      </c>
      <c r="AS34" s="32">
        <f>AR34</f>
        <v>594.4</v>
      </c>
      <c r="AT34" s="32">
        <f>AS34</f>
        <v>594.4</v>
      </c>
      <c r="AU34" s="32">
        <f>AT34</f>
        <v>594.4</v>
      </c>
      <c r="AV34" s="262">
        <f>AU34</f>
        <v>594.4</v>
      </c>
    </row>
    <row r="35" spans="1:48" outlineLevel="1" x14ac:dyDescent="0.3">
      <c r="A35" s="161"/>
      <c r="B35" s="470" t="s">
        <v>242</v>
      </c>
      <c r="C35" s="471"/>
      <c r="D35" s="116">
        <f t="shared" ref="D35:AV35" si="29">SUM(D30:D34)</f>
        <v>22860.100000000002</v>
      </c>
      <c r="E35" s="116">
        <f t="shared" si="29"/>
        <v>22677.1</v>
      </c>
      <c r="F35" s="116">
        <f t="shared" si="29"/>
        <v>25213.4</v>
      </c>
      <c r="G35" s="116">
        <f t="shared" si="29"/>
        <v>25450.6</v>
      </c>
      <c r="H35" s="150">
        <f t="shared" si="29"/>
        <v>25450.6</v>
      </c>
      <c r="I35" s="116">
        <f t="shared" si="29"/>
        <v>34490.400000000001</v>
      </c>
      <c r="J35" s="116">
        <f t="shared" si="29"/>
        <v>35011.800000000003</v>
      </c>
      <c r="K35" s="116">
        <f t="shared" si="29"/>
        <v>37764.899999999994</v>
      </c>
      <c r="L35" s="116">
        <f t="shared" si="29"/>
        <v>37173.900000000009</v>
      </c>
      <c r="M35" s="150">
        <f t="shared" si="29"/>
        <v>37173.900000000009</v>
      </c>
      <c r="N35" s="116">
        <f t="shared" si="29"/>
        <v>37872.400000000001</v>
      </c>
      <c r="O35" s="116">
        <f t="shared" si="29"/>
        <v>36020</v>
      </c>
      <c r="P35" s="116">
        <f t="shared" si="29"/>
        <v>36271.1</v>
      </c>
      <c r="Q35" s="116">
        <f t="shared" si="29"/>
        <v>36707.100000000006</v>
      </c>
      <c r="R35" s="150">
        <f t="shared" si="29"/>
        <v>36707.100000000006</v>
      </c>
      <c r="S35" s="116">
        <f t="shared" si="29"/>
        <v>37284.199999999997</v>
      </c>
      <c r="T35" s="116">
        <f t="shared" si="29"/>
        <v>37782.699999999997</v>
      </c>
      <c r="U35" s="116">
        <f t="shared" si="29"/>
        <v>36815.1</v>
      </c>
      <c r="V35" s="116">
        <f t="shared" si="29"/>
        <v>36420.379834544212</v>
      </c>
      <c r="W35" s="150">
        <f t="shared" si="29"/>
        <v>36420.379834544212</v>
      </c>
      <c r="X35" s="116">
        <f t="shared" si="29"/>
        <v>36890.681934141037</v>
      </c>
      <c r="Y35" s="116">
        <f t="shared" si="29"/>
        <v>36488.077083923839</v>
      </c>
      <c r="Z35" s="116">
        <f t="shared" si="29"/>
        <v>36633.376213922056</v>
      </c>
      <c r="AA35" s="116">
        <f t="shared" si="29"/>
        <v>36399.883061350702</v>
      </c>
      <c r="AB35" s="150">
        <f t="shared" si="29"/>
        <v>36399.883061350702</v>
      </c>
      <c r="AC35" s="116">
        <f t="shared" si="29"/>
        <v>36946.055524797943</v>
      </c>
      <c r="AD35" s="116">
        <f t="shared" si="29"/>
        <v>36508.168333634538</v>
      </c>
      <c r="AE35" s="116">
        <f t="shared" si="29"/>
        <v>36646.043998056179</v>
      </c>
      <c r="AF35" s="116">
        <f t="shared" si="29"/>
        <v>36572.913212558669</v>
      </c>
      <c r="AG35" s="150">
        <f t="shared" si="29"/>
        <v>36572.913212558669</v>
      </c>
      <c r="AH35" s="116">
        <f t="shared" si="29"/>
        <v>37147.976022098243</v>
      </c>
      <c r="AI35" s="116">
        <f t="shared" si="29"/>
        <v>36688.580700883336</v>
      </c>
      <c r="AJ35" s="116">
        <f t="shared" si="29"/>
        <v>42162.557024439855</v>
      </c>
      <c r="AK35" s="116">
        <f t="shared" si="29"/>
        <v>41975.514713570119</v>
      </c>
      <c r="AL35" s="150">
        <f t="shared" si="29"/>
        <v>41975.514713570119</v>
      </c>
      <c r="AM35" s="116">
        <f t="shared" si="29"/>
        <v>42563.775053844372</v>
      </c>
      <c r="AN35" s="116">
        <f t="shared" si="29"/>
        <v>42051.561626756913</v>
      </c>
      <c r="AO35" s="116">
        <f t="shared" si="29"/>
        <v>42246.912523074163</v>
      </c>
      <c r="AP35" s="116">
        <f t="shared" si="29"/>
        <v>42051.559425562744</v>
      </c>
      <c r="AQ35" s="150">
        <f t="shared" si="29"/>
        <v>42051.559425562744</v>
      </c>
      <c r="AR35" s="116">
        <f t="shared" si="29"/>
        <v>42671.425923750234</v>
      </c>
      <c r="AS35" s="116">
        <f t="shared" si="29"/>
        <v>42123.505934022309</v>
      </c>
      <c r="AT35" s="116">
        <f t="shared" si="29"/>
        <v>42326.399989681413</v>
      </c>
      <c r="AU35" s="116">
        <f t="shared" si="29"/>
        <v>42128.167949796181</v>
      </c>
      <c r="AV35" s="150">
        <f t="shared" si="29"/>
        <v>42128.167949796181</v>
      </c>
    </row>
    <row r="36" spans="1:48" ht="17.399999999999999" x14ac:dyDescent="0.45">
      <c r="B36" s="432" t="s">
        <v>243</v>
      </c>
      <c r="C36" s="433"/>
      <c r="D36" s="14" t="s">
        <v>19</v>
      </c>
      <c r="E36" s="14" t="s">
        <v>81</v>
      </c>
      <c r="F36" s="14" t="s">
        <v>85</v>
      </c>
      <c r="G36" s="14" t="s">
        <v>95</v>
      </c>
      <c r="H36" s="40" t="s">
        <v>96</v>
      </c>
      <c r="I36" s="14" t="s">
        <v>97</v>
      </c>
      <c r="J36" s="14" t="s">
        <v>98</v>
      </c>
      <c r="K36" s="14" t="s">
        <v>99</v>
      </c>
      <c r="L36" s="14" t="s">
        <v>142</v>
      </c>
      <c r="M36" s="40" t="s">
        <v>143</v>
      </c>
      <c r="N36" s="14" t="s">
        <v>149</v>
      </c>
      <c r="O36" s="14" t="s">
        <v>157</v>
      </c>
      <c r="P36" s="14" t="s">
        <v>159</v>
      </c>
      <c r="Q36" s="14" t="s">
        <v>172</v>
      </c>
      <c r="R36" s="40" t="s">
        <v>173</v>
      </c>
      <c r="S36" s="14" t="s">
        <v>188</v>
      </c>
      <c r="T36" s="14" t="s">
        <v>189</v>
      </c>
      <c r="U36" s="14" t="s">
        <v>204</v>
      </c>
      <c r="V36" s="263" t="s">
        <v>25</v>
      </c>
      <c r="W36" s="264" t="s">
        <v>26</v>
      </c>
      <c r="X36" s="263" t="s">
        <v>27</v>
      </c>
      <c r="Y36" s="263" t="s">
        <v>28</v>
      </c>
      <c r="Z36" s="263" t="s">
        <v>29</v>
      </c>
      <c r="AA36" s="263" t="s">
        <v>30</v>
      </c>
      <c r="AB36" s="264" t="s">
        <v>31</v>
      </c>
      <c r="AC36" s="12" t="s">
        <v>90</v>
      </c>
      <c r="AD36" s="12" t="s">
        <v>91</v>
      </c>
      <c r="AE36" s="12" t="s">
        <v>92</v>
      </c>
      <c r="AF36" s="12" t="s">
        <v>93</v>
      </c>
      <c r="AG36" s="42" t="s">
        <v>94</v>
      </c>
      <c r="AH36" s="12" t="s">
        <v>109</v>
      </c>
      <c r="AI36" s="12" t="s">
        <v>110</v>
      </c>
      <c r="AJ36" s="12" t="s">
        <v>111</v>
      </c>
      <c r="AK36" s="12" t="s">
        <v>112</v>
      </c>
      <c r="AL36" s="42" t="s">
        <v>113</v>
      </c>
      <c r="AM36" s="12" t="s">
        <v>164</v>
      </c>
      <c r="AN36" s="12" t="s">
        <v>165</v>
      </c>
      <c r="AO36" s="12" t="s">
        <v>166</v>
      </c>
      <c r="AP36" s="12" t="s">
        <v>167</v>
      </c>
      <c r="AQ36" s="42" t="s">
        <v>168</v>
      </c>
      <c r="AR36" s="12" t="s">
        <v>195</v>
      </c>
      <c r="AS36" s="12" t="s">
        <v>196</v>
      </c>
      <c r="AT36" s="12" t="s">
        <v>197</v>
      </c>
      <c r="AU36" s="12" t="s">
        <v>198</v>
      </c>
      <c r="AV36" s="42" t="s">
        <v>199</v>
      </c>
    </row>
    <row r="37" spans="1:48" outlineLevel="1" x14ac:dyDescent="0.3">
      <c r="B37" s="436" t="s">
        <v>244</v>
      </c>
      <c r="C37" s="437"/>
      <c r="D37" s="16">
        <f>1.2+41.1</f>
        <v>42.300000000000004</v>
      </c>
      <c r="E37" s="16">
        <f>1.2+41.1</f>
        <v>42.300000000000004</v>
      </c>
      <c r="F37" s="16">
        <f>1.2+41.1</f>
        <v>42.300000000000004</v>
      </c>
      <c r="G37" s="16">
        <f>1.2+41.1</f>
        <v>42.300000000000004</v>
      </c>
      <c r="H37" s="17">
        <f>G37</f>
        <v>42.300000000000004</v>
      </c>
      <c r="I37" s="16">
        <f>1.2+41.1</f>
        <v>42.300000000000004</v>
      </c>
      <c r="J37" s="16">
        <f>1.2+41.1</f>
        <v>42.300000000000004</v>
      </c>
      <c r="K37" s="16">
        <f>1.2+115.4</f>
        <v>116.60000000000001</v>
      </c>
      <c r="L37" s="16">
        <f>1.2+373.9</f>
        <v>375.09999999999997</v>
      </c>
      <c r="M37" s="17">
        <f>L37</f>
        <v>375.09999999999997</v>
      </c>
      <c r="N37" s="16">
        <f>1.2+488.6</f>
        <v>489.8</v>
      </c>
      <c r="O37" s="16">
        <f>1.2+595.4</f>
        <v>596.6</v>
      </c>
      <c r="P37" s="16">
        <f>1.2+729.3</f>
        <v>730.5</v>
      </c>
      <c r="Q37" s="16">
        <f>1.2+846.1</f>
        <v>847.30000000000007</v>
      </c>
      <c r="R37" s="17">
        <f>Q37</f>
        <v>847.30000000000007</v>
      </c>
      <c r="S37" s="16">
        <f>1.2+41.1</f>
        <v>42.300000000000004</v>
      </c>
      <c r="T37" s="16">
        <f>1.1+41.1</f>
        <v>42.2</v>
      </c>
      <c r="U37" s="16">
        <f>1.1+117.1</f>
        <v>118.19999999999999</v>
      </c>
      <c r="V37" s="16">
        <f>+U37+'Cash Flow Statement'!V12+'Cash Flow Statement'!V35</f>
        <v>186.45820954892966</v>
      </c>
      <c r="W37" s="17">
        <f>V37</f>
        <v>186.45820954892966</v>
      </c>
      <c r="X37" s="16">
        <f>+V37+'Cash Flow Statement'!X12+'Cash Flow Statement'!X35</f>
        <v>259.14171867776389</v>
      </c>
      <c r="Y37" s="16">
        <f>+X37+'Cash Flow Statement'!Y12+'Cash Flow Statement'!Y35</f>
        <v>322.75017283030621</v>
      </c>
      <c r="Z37" s="16">
        <f>+Y37+'Cash Flow Statement'!Z12+'Cash Flow Statement'!Z35</f>
        <v>394.14182003442488</v>
      </c>
      <c r="AA37" s="16">
        <f>+Z37+'Cash Flow Statement'!AA12+'Cash Flow Statement'!AA35</f>
        <v>469.25798289260689</v>
      </c>
      <c r="AB37" s="17">
        <f>AA37</f>
        <v>469.25798289260689</v>
      </c>
      <c r="AC37" s="16">
        <f>+AA37+'Cash Flow Statement'!AC12+'Cash Flow Statement'!AC35</f>
        <v>546.47474132521199</v>
      </c>
      <c r="AD37" s="16">
        <f>+AC37+'Cash Flow Statement'!AD12+'Cash Flow Statement'!AD35</f>
        <v>618.4349244661995</v>
      </c>
      <c r="AE37" s="16">
        <f>+AD37+'Cash Flow Statement'!AE12+'Cash Flow Statement'!AE35</f>
        <v>697.90524446016502</v>
      </c>
      <c r="AF37" s="16">
        <f>+AE37+'Cash Flow Statement'!AF12+'Cash Flow Statement'!AF35</f>
        <v>779.70673807855428</v>
      </c>
      <c r="AG37" s="17">
        <f>AF37</f>
        <v>779.70673807855428</v>
      </c>
      <c r="AH37" s="16">
        <f>+AF37+'Cash Flow Statement'!AH12+'Cash Flow Statement'!AH35</f>
        <v>865.29467419792604</v>
      </c>
      <c r="AI37" s="16">
        <f>+AH37+'Cash Flow Statement'!AI12+'Cash Flow Statement'!AI35</f>
        <v>946.02848500918537</v>
      </c>
      <c r="AJ37" s="16">
        <f>+AI37+'Cash Flow Statement'!AJ12+'Cash Flow Statement'!AJ35</f>
        <v>1034.7182494358842</v>
      </c>
      <c r="AK37" s="16">
        <f>+AJ37+'Cash Flow Statement'!AK12+'Cash Flow Statement'!AK35</f>
        <v>1125.9054042884197</v>
      </c>
      <c r="AL37" s="17">
        <f>AK37</f>
        <v>1125.9054042884197</v>
      </c>
      <c r="AM37" s="16">
        <f>+AK37+'Cash Flow Statement'!AM12+'Cash Flow Statement'!AM35</f>
        <v>1220.0365894615813</v>
      </c>
      <c r="AN37" s="16">
        <f>+AM37+'Cash Flow Statement'!AN12+'Cash Flow Statement'!AN35</f>
        <v>1308.5096358032915</v>
      </c>
      <c r="AO37" s="16">
        <f>+AN37+'Cash Flow Statement'!AO12+'Cash Flow Statement'!AO35</f>
        <v>1405.2132203072395</v>
      </c>
      <c r="AP37" s="16">
        <f>+AO37+'Cash Flow Statement'!AP12+'Cash Flow Statement'!AP35</f>
        <v>1504.3172772593048</v>
      </c>
      <c r="AQ37" s="17">
        <f>AP37</f>
        <v>1504.3172772593048</v>
      </c>
      <c r="AR37" s="16">
        <f>+AP37+'Cash Flow Statement'!AR12+'Cash Flow Statement'!AR35</f>
        <v>1604.5801209780989</v>
      </c>
      <c r="AS37" s="16">
        <f>+AR37+'Cash Flow Statement'!AS12+'Cash Flow Statement'!AS35</f>
        <v>1698.7565742635986</v>
      </c>
      <c r="AT37" s="16">
        <f>+AS37+'Cash Flow Statement'!AT12+'Cash Flow Statement'!AT35</f>
        <v>1801.6462542996449</v>
      </c>
      <c r="AU37" s="16">
        <f>+AT37+'Cash Flow Statement'!AU12+'Cash Flow Statement'!AU35</f>
        <v>1907.1219524367916</v>
      </c>
      <c r="AV37" s="17">
        <f>AU37</f>
        <v>1907.1219524367916</v>
      </c>
    </row>
    <row r="38" spans="1:48" outlineLevel="1" x14ac:dyDescent="0.3">
      <c r="B38" s="472" t="s">
        <v>245</v>
      </c>
      <c r="C38" s="473"/>
      <c r="D38" s="16">
        <v>-2584</v>
      </c>
      <c r="E38" s="101">
        <v>-4807.7</v>
      </c>
      <c r="F38" s="101">
        <v>-4013.9</v>
      </c>
      <c r="G38" s="101">
        <v>-5771.2</v>
      </c>
      <c r="H38" s="169">
        <f>G38</f>
        <v>-5771.2</v>
      </c>
      <c r="I38" s="101">
        <v>-6414.8</v>
      </c>
      <c r="J38" s="101">
        <v>-7050.6</v>
      </c>
      <c r="K38" s="101">
        <v>-8208.2999999999993</v>
      </c>
      <c r="L38" s="101">
        <v>-7815.6</v>
      </c>
      <c r="M38" s="169">
        <f>L38</f>
        <v>-7815.6</v>
      </c>
      <c r="N38" s="101">
        <v>-8253.6</v>
      </c>
      <c r="O38" s="101">
        <v>-8124.3</v>
      </c>
      <c r="P38" s="101">
        <v>-7501.6</v>
      </c>
      <c r="Q38" s="101">
        <v>-6315.7</v>
      </c>
      <c r="R38" s="169">
        <f>Q38</f>
        <v>-6315.7</v>
      </c>
      <c r="S38" s="101">
        <v>-8753</v>
      </c>
      <c r="T38" s="101">
        <v>-9070.5</v>
      </c>
      <c r="U38" s="101">
        <v>-8719.7000000000007</v>
      </c>
      <c r="V38" s="101">
        <f>U38+'Cash Flow Statement'!V6+'Cash Flow Statement'!V33+'Cash Flow Statement'!V34</f>
        <v>-8544.5597585978667</v>
      </c>
      <c r="W38" s="169">
        <f>V38</f>
        <v>-8544.5597585978667</v>
      </c>
      <c r="X38" s="101">
        <f>V38+'Cash Flow Statement'!X6+'Cash Flow Statement'!X33+'Cash Flow Statement'!X34</f>
        <v>-8330.5283028726026</v>
      </c>
      <c r="Y38" s="101">
        <f>X38+'Cash Flow Statement'!Y6+'Cash Flow Statement'!Y33+'Cash Flow Statement'!Y34</f>
        <v>-8138.3200640137202</v>
      </c>
      <c r="Z38" s="101">
        <f>Y38+'Cash Flow Statement'!Z6+'Cash Flow Statement'!Z33+'Cash Flow Statement'!Z34</f>
        <v>-7719.5795618038355</v>
      </c>
      <c r="AA38" s="101">
        <f>Z38+'Cash Flow Statement'!AA6+'Cash Flow Statement'!AA33+'Cash Flow Statement'!AA34</f>
        <v>-7263.3117074142547</v>
      </c>
      <c r="AB38" s="169">
        <f>AA38</f>
        <v>-7263.3117074142547</v>
      </c>
      <c r="AC38" s="101">
        <f>AA38+'Cash Flow Statement'!AC6+'Cash Flow Statement'!AC33+'Cash Flow Statement'!AC34</f>
        <v>-6745.99993080476</v>
      </c>
      <c r="AD38" s="101">
        <f>AC38+'Cash Flow Statement'!AD6+'Cash Flow Statement'!AD33+'Cash Flow Statement'!AD34</f>
        <v>-6425.5475532177607</v>
      </c>
      <c r="AE38" s="101">
        <f>AD38+'Cash Flow Statement'!AE6+'Cash Flow Statement'!AE33+'Cash Flow Statement'!AE34</f>
        <v>-5980.4430972711452</v>
      </c>
      <c r="AF38" s="101">
        <f>AE38+'Cash Flow Statement'!AF6+'Cash Flow Statement'!AF33+'Cash Flow Statement'!AF34</f>
        <v>-5580.3510850108341</v>
      </c>
      <c r="AG38" s="169">
        <f>AF38</f>
        <v>-5580.3510850108341</v>
      </c>
      <c r="AH38" s="101">
        <f>AF38+'Cash Flow Statement'!AH6+'Cash Flow Statement'!AH33+'Cash Flow Statement'!AH34</f>
        <v>-5000.5147469520643</v>
      </c>
      <c r="AI38" s="101">
        <f>AH38+'Cash Flow Statement'!AI6+'Cash Flow Statement'!AI33+'Cash Flow Statement'!AI34</f>
        <v>-4637.8257347279014</v>
      </c>
      <c r="AJ38" s="101">
        <f>AI38+'Cash Flow Statement'!AJ6+'Cash Flow Statement'!AJ33+'Cash Flow Statement'!AJ34</f>
        <v>-9057.3979466439541</v>
      </c>
      <c r="AK38" s="101">
        <f>AJ38+'Cash Flow Statement'!AK6+'Cash Flow Statement'!AK33+'Cash Flow Statement'!AK34</f>
        <v>-13602.940365036307</v>
      </c>
      <c r="AL38" s="169">
        <f>AK38</f>
        <v>-13602.940365036307</v>
      </c>
      <c r="AM38" s="101">
        <f>AK38+'Cash Flow Statement'!AM6+'Cash Flow Statement'!AM33+'Cash Flow Statement'!AM34</f>
        <v>-13103.628861675912</v>
      </c>
      <c r="AN38" s="101">
        <f>AM38+'Cash Flow Statement'!AN6+'Cash Flow Statement'!AN33+'Cash Flow Statement'!AN34</f>
        <v>-12850.834573624603</v>
      </c>
      <c r="AO38" s="101">
        <f>AN38+'Cash Flow Statement'!AO6+'Cash Flow Statement'!AO33+'Cash Flow Statement'!AO34</f>
        <v>-12251.904316226672</v>
      </c>
      <c r="AP38" s="101">
        <f>AO38+'Cash Flow Statement'!AP6+'Cash Flow Statement'!AP33+'Cash Flow Statement'!AP34</f>
        <v>-11730.337706687566</v>
      </c>
      <c r="AQ38" s="169">
        <f>AP38</f>
        <v>-11730.337706687566</v>
      </c>
      <c r="AR38" s="101">
        <f>AP38+'Cash Flow Statement'!AR6+'Cash Flow Statement'!AR33+'Cash Flow Statement'!AR34</f>
        <v>-11108.296328505026</v>
      </c>
      <c r="AS38" s="101">
        <f>AR38+'Cash Flow Statement'!AS6+'Cash Flow Statement'!AS33+'Cash Flow Statement'!AS34</f>
        <v>-10747.293875603475</v>
      </c>
      <c r="AT38" s="101">
        <f>AS38+'Cash Flow Statement'!AT6+'Cash Flow Statement'!AT33+'Cash Flow Statement'!AT34</f>
        <v>-10044.90226716673</v>
      </c>
      <c r="AU38" s="101">
        <f>AT38+'Cash Flow Statement'!AU6+'Cash Flow Statement'!AU33+'Cash Flow Statement'!AU34</f>
        <v>-9428.1990342846584</v>
      </c>
      <c r="AV38" s="169">
        <f>AU38</f>
        <v>-9428.1990342846584</v>
      </c>
    </row>
    <row r="39" spans="1:48" outlineLevel="1" x14ac:dyDescent="0.3">
      <c r="B39" s="472" t="s">
        <v>246</v>
      </c>
      <c r="C39" s="473"/>
      <c r="D39" s="16">
        <v>-343.2</v>
      </c>
      <c r="E39" s="102">
        <v>-271.5</v>
      </c>
      <c r="F39" s="101">
        <v>-349</v>
      </c>
      <c r="G39" s="101">
        <v>-503.3</v>
      </c>
      <c r="H39" s="169">
        <f>+G39</f>
        <v>-503.3</v>
      </c>
      <c r="I39" s="101">
        <v>-387.4</v>
      </c>
      <c r="J39" s="101">
        <v>-521.79999999999995</v>
      </c>
      <c r="K39" s="101">
        <v>-529.9</v>
      </c>
      <c r="L39" s="101">
        <v>-364.6</v>
      </c>
      <c r="M39" s="169">
        <f>+L39</f>
        <v>-364.6</v>
      </c>
      <c r="N39" s="101">
        <v>-145.9</v>
      </c>
      <c r="O39" s="101">
        <v>-126.3</v>
      </c>
      <c r="P39" s="101">
        <v>-29.7</v>
      </c>
      <c r="Q39" s="101">
        <v>147.19999999999999</v>
      </c>
      <c r="R39" s="169">
        <f>+Q39</f>
        <v>147.19999999999999</v>
      </c>
      <c r="S39" s="101">
        <v>253.5</v>
      </c>
      <c r="T39" s="101">
        <v>260.3</v>
      </c>
      <c r="U39" s="101">
        <v>-65</v>
      </c>
      <c r="V39" s="101">
        <f t="shared" ref="V39:W40" si="30">+U39</f>
        <v>-65</v>
      </c>
      <c r="W39" s="169">
        <f t="shared" si="30"/>
        <v>-65</v>
      </c>
      <c r="X39" s="101">
        <f>+V39</f>
        <v>-65</v>
      </c>
      <c r="Y39" s="101">
        <f t="shared" ref="Y39:AB40" si="31">+X39</f>
        <v>-65</v>
      </c>
      <c r="Z39" s="101">
        <f t="shared" si="31"/>
        <v>-65</v>
      </c>
      <c r="AA39" s="101">
        <f t="shared" si="31"/>
        <v>-65</v>
      </c>
      <c r="AB39" s="169">
        <f t="shared" si="31"/>
        <v>-65</v>
      </c>
      <c r="AC39" s="101">
        <f>+AA39</f>
        <v>-65</v>
      </c>
      <c r="AD39" s="101">
        <f t="shared" ref="AD39:AG40" si="32">+AC39</f>
        <v>-65</v>
      </c>
      <c r="AE39" s="101">
        <f t="shared" si="32"/>
        <v>-65</v>
      </c>
      <c r="AF39" s="101">
        <f t="shared" si="32"/>
        <v>-65</v>
      </c>
      <c r="AG39" s="169">
        <f t="shared" si="32"/>
        <v>-65</v>
      </c>
      <c r="AH39" s="101">
        <f>+AF39</f>
        <v>-65</v>
      </c>
      <c r="AI39" s="101">
        <f t="shared" ref="AI39:AL40" si="33">+AH39</f>
        <v>-65</v>
      </c>
      <c r="AJ39" s="101">
        <f t="shared" si="33"/>
        <v>-65</v>
      </c>
      <c r="AK39" s="101">
        <f t="shared" si="33"/>
        <v>-65</v>
      </c>
      <c r="AL39" s="169">
        <f t="shared" si="33"/>
        <v>-65</v>
      </c>
      <c r="AM39" s="101">
        <f>+AK39</f>
        <v>-65</v>
      </c>
      <c r="AN39" s="101">
        <f t="shared" ref="AN39:AQ40" si="34">+AM39</f>
        <v>-65</v>
      </c>
      <c r="AO39" s="101">
        <f t="shared" si="34"/>
        <v>-65</v>
      </c>
      <c r="AP39" s="101">
        <f t="shared" si="34"/>
        <v>-65</v>
      </c>
      <c r="AQ39" s="169">
        <f t="shared" si="34"/>
        <v>-65</v>
      </c>
      <c r="AR39" s="101">
        <f>+AP39</f>
        <v>-65</v>
      </c>
      <c r="AS39" s="101">
        <f t="shared" ref="AS39:AV40" si="35">+AR39</f>
        <v>-65</v>
      </c>
      <c r="AT39" s="101">
        <f t="shared" si="35"/>
        <v>-65</v>
      </c>
      <c r="AU39" s="101">
        <f t="shared" si="35"/>
        <v>-65</v>
      </c>
      <c r="AV39" s="169">
        <f t="shared" si="35"/>
        <v>-65</v>
      </c>
    </row>
    <row r="40" spans="1:48" ht="16.2" outlineLevel="1" x14ac:dyDescent="0.45">
      <c r="B40" s="265" t="s">
        <v>247</v>
      </c>
      <c r="C40" s="266"/>
      <c r="D40" s="260">
        <v>6.1</v>
      </c>
      <c r="E40" s="112">
        <v>1.7</v>
      </c>
      <c r="F40" s="112">
        <v>1.6</v>
      </c>
      <c r="G40" s="112">
        <v>1.2</v>
      </c>
      <c r="H40" s="261">
        <f>+G40</f>
        <v>1.2</v>
      </c>
      <c r="I40" s="112">
        <v>0.8</v>
      </c>
      <c r="J40" s="112">
        <v>-2.8</v>
      </c>
      <c r="K40" s="112">
        <v>-2.7</v>
      </c>
      <c r="L40" s="112">
        <v>5.7</v>
      </c>
      <c r="M40" s="262">
        <f>+L40</f>
        <v>5.7</v>
      </c>
      <c r="N40" s="112">
        <v>5.7</v>
      </c>
      <c r="O40" s="112">
        <v>5.7</v>
      </c>
      <c r="P40" s="112">
        <v>6.5</v>
      </c>
      <c r="Q40" s="112">
        <v>6.7</v>
      </c>
      <c r="R40" s="262">
        <f>+Q40</f>
        <v>6.7</v>
      </c>
      <c r="S40" s="112">
        <v>6.9</v>
      </c>
      <c r="T40" s="112">
        <v>6.8</v>
      </c>
      <c r="U40" s="112">
        <v>7.6</v>
      </c>
      <c r="V40" s="112">
        <f t="shared" si="30"/>
        <v>7.6</v>
      </c>
      <c r="W40" s="262">
        <f t="shared" si="30"/>
        <v>7.6</v>
      </c>
      <c r="X40" s="112">
        <f>+V40</f>
        <v>7.6</v>
      </c>
      <c r="Y40" s="112">
        <f t="shared" si="31"/>
        <v>7.6</v>
      </c>
      <c r="Z40" s="112">
        <f t="shared" si="31"/>
        <v>7.6</v>
      </c>
      <c r="AA40" s="112">
        <f t="shared" si="31"/>
        <v>7.6</v>
      </c>
      <c r="AB40" s="262">
        <f t="shared" si="31"/>
        <v>7.6</v>
      </c>
      <c r="AC40" s="112">
        <f>+AA40</f>
        <v>7.6</v>
      </c>
      <c r="AD40" s="112">
        <f t="shared" si="32"/>
        <v>7.6</v>
      </c>
      <c r="AE40" s="112">
        <f t="shared" si="32"/>
        <v>7.6</v>
      </c>
      <c r="AF40" s="112">
        <f t="shared" si="32"/>
        <v>7.6</v>
      </c>
      <c r="AG40" s="262">
        <f t="shared" si="32"/>
        <v>7.6</v>
      </c>
      <c r="AH40" s="112">
        <f>+AF40</f>
        <v>7.6</v>
      </c>
      <c r="AI40" s="112">
        <f t="shared" si="33"/>
        <v>7.6</v>
      </c>
      <c r="AJ40" s="112">
        <f t="shared" si="33"/>
        <v>7.6</v>
      </c>
      <c r="AK40" s="112">
        <f t="shared" si="33"/>
        <v>7.6</v>
      </c>
      <c r="AL40" s="262">
        <f t="shared" si="33"/>
        <v>7.6</v>
      </c>
      <c r="AM40" s="112">
        <f>+AK40</f>
        <v>7.6</v>
      </c>
      <c r="AN40" s="112">
        <f t="shared" si="34"/>
        <v>7.6</v>
      </c>
      <c r="AO40" s="112">
        <f t="shared" si="34"/>
        <v>7.6</v>
      </c>
      <c r="AP40" s="112">
        <f t="shared" si="34"/>
        <v>7.6</v>
      </c>
      <c r="AQ40" s="262">
        <f t="shared" si="34"/>
        <v>7.6</v>
      </c>
      <c r="AR40" s="112">
        <f>+AP40</f>
        <v>7.6</v>
      </c>
      <c r="AS40" s="112">
        <f t="shared" si="35"/>
        <v>7.6</v>
      </c>
      <c r="AT40" s="112">
        <f t="shared" si="35"/>
        <v>7.6</v>
      </c>
      <c r="AU40" s="112">
        <f t="shared" si="35"/>
        <v>7.6</v>
      </c>
      <c r="AV40" s="262">
        <f t="shared" si="35"/>
        <v>7.6</v>
      </c>
    </row>
    <row r="41" spans="1:48" outlineLevel="1" x14ac:dyDescent="0.3">
      <c r="B41" s="470" t="s">
        <v>248</v>
      </c>
      <c r="C41" s="471"/>
      <c r="D41" s="21">
        <f t="shared" ref="D41:AV41" si="36">SUM(D37:D40)</f>
        <v>-2878.7999999999997</v>
      </c>
      <c r="E41" s="21">
        <f t="shared" si="36"/>
        <v>-5035.2</v>
      </c>
      <c r="F41" s="21">
        <f t="shared" si="36"/>
        <v>-4319</v>
      </c>
      <c r="G41" s="21">
        <f t="shared" si="36"/>
        <v>-6231</v>
      </c>
      <c r="H41" s="22">
        <f t="shared" si="36"/>
        <v>-6231</v>
      </c>
      <c r="I41" s="21">
        <f t="shared" si="36"/>
        <v>-6759.0999999999995</v>
      </c>
      <c r="J41" s="21">
        <f t="shared" si="36"/>
        <v>-7532.9000000000005</v>
      </c>
      <c r="K41" s="21">
        <f t="shared" si="36"/>
        <v>-8624.2999999999993</v>
      </c>
      <c r="L41" s="21">
        <f t="shared" si="36"/>
        <v>-7799.4000000000005</v>
      </c>
      <c r="M41" s="22">
        <f t="shared" si="36"/>
        <v>-7799.4000000000005</v>
      </c>
      <c r="N41" s="21">
        <f t="shared" si="36"/>
        <v>-7904</v>
      </c>
      <c r="O41" s="21">
        <f t="shared" si="36"/>
        <v>-7648.3</v>
      </c>
      <c r="P41" s="21">
        <f t="shared" si="36"/>
        <v>-6794.3</v>
      </c>
      <c r="Q41" s="21">
        <f t="shared" si="36"/>
        <v>-5314.5</v>
      </c>
      <c r="R41" s="22">
        <f t="shared" si="36"/>
        <v>-5314.5</v>
      </c>
      <c r="S41" s="21">
        <f t="shared" si="36"/>
        <v>-8450.3000000000011</v>
      </c>
      <c r="T41" s="21">
        <f t="shared" si="36"/>
        <v>-8761.2000000000007</v>
      </c>
      <c r="U41" s="21">
        <f t="shared" si="36"/>
        <v>-8658.9</v>
      </c>
      <c r="V41" s="21">
        <f t="shared" si="36"/>
        <v>-8415.5015490489368</v>
      </c>
      <c r="W41" s="22">
        <f t="shared" si="36"/>
        <v>-8415.5015490489368</v>
      </c>
      <c r="X41" s="21">
        <f t="shared" si="36"/>
        <v>-8128.7865841948387</v>
      </c>
      <c r="Y41" s="21">
        <f t="shared" si="36"/>
        <v>-7872.9698911834139</v>
      </c>
      <c r="Z41" s="21">
        <f t="shared" si="36"/>
        <v>-7382.8377417694101</v>
      </c>
      <c r="AA41" s="21">
        <f t="shared" si="36"/>
        <v>-6851.453724521647</v>
      </c>
      <c r="AB41" s="22">
        <f t="shared" si="36"/>
        <v>-6851.453724521647</v>
      </c>
      <c r="AC41" s="21">
        <f t="shared" si="36"/>
        <v>-6256.925189479548</v>
      </c>
      <c r="AD41" s="21">
        <f t="shared" si="36"/>
        <v>-5864.5126287515604</v>
      </c>
      <c r="AE41" s="21">
        <f t="shared" si="36"/>
        <v>-5339.9378528109801</v>
      </c>
      <c r="AF41" s="21">
        <f t="shared" si="36"/>
        <v>-4858.04434693228</v>
      </c>
      <c r="AG41" s="22">
        <f t="shared" si="36"/>
        <v>-4858.04434693228</v>
      </c>
      <c r="AH41" s="21">
        <f t="shared" si="36"/>
        <v>-4192.6200727541382</v>
      </c>
      <c r="AI41" s="21">
        <f t="shared" si="36"/>
        <v>-3749.1972497187162</v>
      </c>
      <c r="AJ41" s="21">
        <f t="shared" si="36"/>
        <v>-8080.0796972080698</v>
      </c>
      <c r="AK41" s="21">
        <f t="shared" si="36"/>
        <v>-12534.434960747887</v>
      </c>
      <c r="AL41" s="22">
        <f t="shared" si="36"/>
        <v>-12534.434960747887</v>
      </c>
      <c r="AM41" s="21">
        <f t="shared" si="36"/>
        <v>-11940.992272214331</v>
      </c>
      <c r="AN41" s="21">
        <f t="shared" si="36"/>
        <v>-11599.724937821311</v>
      </c>
      <c r="AO41" s="21">
        <f t="shared" si="36"/>
        <v>-10904.091095919432</v>
      </c>
      <c r="AP41" s="21">
        <f t="shared" si="36"/>
        <v>-10283.420429428261</v>
      </c>
      <c r="AQ41" s="22">
        <f t="shared" si="36"/>
        <v>-10283.420429428261</v>
      </c>
      <c r="AR41" s="21">
        <f t="shared" si="36"/>
        <v>-9561.1162075269276</v>
      </c>
      <c r="AS41" s="21">
        <f t="shared" si="36"/>
        <v>-9105.9373013398763</v>
      </c>
      <c r="AT41" s="21">
        <f t="shared" si="36"/>
        <v>-8300.6560128670844</v>
      </c>
      <c r="AU41" s="21">
        <f t="shared" si="36"/>
        <v>-7578.4770818478664</v>
      </c>
      <c r="AV41" s="22">
        <f t="shared" si="36"/>
        <v>-7578.4770818478664</v>
      </c>
    </row>
    <row r="42" spans="1:48" outlineLevel="1" x14ac:dyDescent="0.3">
      <c r="B42" s="468" t="s">
        <v>249</v>
      </c>
      <c r="C42" s="469"/>
      <c r="D42" s="267">
        <f t="shared" ref="D42:AV42" si="37">D41+D35</f>
        <v>19981.300000000003</v>
      </c>
      <c r="E42" s="267">
        <f t="shared" si="37"/>
        <v>17641.899999999998</v>
      </c>
      <c r="F42" s="267">
        <f t="shared" si="37"/>
        <v>20894.400000000001</v>
      </c>
      <c r="G42" s="267">
        <f t="shared" si="37"/>
        <v>19219.599999999999</v>
      </c>
      <c r="H42" s="268">
        <f t="shared" si="37"/>
        <v>19219.599999999999</v>
      </c>
      <c r="I42" s="267">
        <f t="shared" si="37"/>
        <v>27731.300000000003</v>
      </c>
      <c r="J42" s="267">
        <f t="shared" si="37"/>
        <v>27478.9</v>
      </c>
      <c r="K42" s="267">
        <f t="shared" si="37"/>
        <v>29140.599999999995</v>
      </c>
      <c r="L42" s="267">
        <f t="shared" si="37"/>
        <v>29374.500000000007</v>
      </c>
      <c r="M42" s="268">
        <f t="shared" si="37"/>
        <v>29374.500000000007</v>
      </c>
      <c r="N42" s="267">
        <f t="shared" si="37"/>
        <v>29968.400000000001</v>
      </c>
      <c r="O42" s="267">
        <f t="shared" si="37"/>
        <v>28371.7</v>
      </c>
      <c r="P42" s="267">
        <f t="shared" si="37"/>
        <v>29476.799999999999</v>
      </c>
      <c r="Q42" s="267">
        <f t="shared" si="37"/>
        <v>31392.600000000006</v>
      </c>
      <c r="R42" s="268">
        <f t="shared" si="37"/>
        <v>31392.600000000006</v>
      </c>
      <c r="S42" s="267">
        <f t="shared" si="37"/>
        <v>28833.899999999994</v>
      </c>
      <c r="T42" s="267">
        <f t="shared" si="37"/>
        <v>29021.499999999996</v>
      </c>
      <c r="U42" s="267">
        <f t="shared" si="37"/>
        <v>28156.199999999997</v>
      </c>
      <c r="V42" s="267">
        <f t="shared" si="37"/>
        <v>28004.878285495273</v>
      </c>
      <c r="W42" s="268">
        <f t="shared" si="37"/>
        <v>28004.878285495273</v>
      </c>
      <c r="X42" s="267">
        <f t="shared" si="37"/>
        <v>28761.8953499462</v>
      </c>
      <c r="Y42" s="267">
        <f t="shared" si="37"/>
        <v>28615.107192740426</v>
      </c>
      <c r="Z42" s="267">
        <f t="shared" si="37"/>
        <v>29250.538472152646</v>
      </c>
      <c r="AA42" s="267">
        <f t="shared" si="37"/>
        <v>29548.429336829053</v>
      </c>
      <c r="AB42" s="268">
        <f t="shared" si="37"/>
        <v>29548.429336829053</v>
      </c>
      <c r="AC42" s="267">
        <f t="shared" si="37"/>
        <v>30689.130335318394</v>
      </c>
      <c r="AD42" s="267">
        <f t="shared" si="37"/>
        <v>30643.655704882978</v>
      </c>
      <c r="AE42" s="267">
        <f t="shared" si="37"/>
        <v>31306.106145245198</v>
      </c>
      <c r="AF42" s="267">
        <f t="shared" si="37"/>
        <v>31714.868865626391</v>
      </c>
      <c r="AG42" s="268">
        <f t="shared" si="37"/>
        <v>31714.868865626391</v>
      </c>
      <c r="AH42" s="267">
        <f t="shared" si="37"/>
        <v>32955.355949344106</v>
      </c>
      <c r="AI42" s="267">
        <f t="shared" si="37"/>
        <v>32939.38345116462</v>
      </c>
      <c r="AJ42" s="267">
        <f t="shared" si="37"/>
        <v>34082.477327231783</v>
      </c>
      <c r="AK42" s="267">
        <f t="shared" si="37"/>
        <v>29441.079752822232</v>
      </c>
      <c r="AL42" s="268">
        <f t="shared" si="37"/>
        <v>29441.079752822232</v>
      </c>
      <c r="AM42" s="267">
        <f t="shared" si="37"/>
        <v>30622.782781630041</v>
      </c>
      <c r="AN42" s="267">
        <f t="shared" si="37"/>
        <v>30451.836688935604</v>
      </c>
      <c r="AO42" s="267">
        <f t="shared" si="37"/>
        <v>31342.821427154733</v>
      </c>
      <c r="AP42" s="267">
        <f t="shared" si="37"/>
        <v>31768.138996134483</v>
      </c>
      <c r="AQ42" s="268">
        <f t="shared" si="37"/>
        <v>31768.138996134483</v>
      </c>
      <c r="AR42" s="267">
        <f t="shared" si="37"/>
        <v>33110.309716223303</v>
      </c>
      <c r="AS42" s="267">
        <f t="shared" si="37"/>
        <v>33017.568632682436</v>
      </c>
      <c r="AT42" s="267">
        <f t="shared" si="37"/>
        <v>34025.74397681433</v>
      </c>
      <c r="AU42" s="267">
        <f t="shared" si="37"/>
        <v>34549.690867948317</v>
      </c>
      <c r="AV42" s="268">
        <f t="shared" si="37"/>
        <v>34549.690867948317</v>
      </c>
    </row>
    <row r="43" spans="1:48" x14ac:dyDescent="0.3">
      <c r="B43" s="269"/>
      <c r="C43" s="270"/>
      <c r="D43" s="271">
        <f t="shared" ref="D43:AV43" si="38">ROUND((D42-D20),0)</f>
        <v>0</v>
      </c>
      <c r="E43" s="271">
        <f t="shared" si="38"/>
        <v>0</v>
      </c>
      <c r="F43" s="271">
        <f t="shared" si="38"/>
        <v>0</v>
      </c>
      <c r="G43" s="271">
        <f t="shared" si="38"/>
        <v>0</v>
      </c>
      <c r="H43" s="271">
        <f t="shared" si="38"/>
        <v>0</v>
      </c>
      <c r="I43" s="271">
        <f t="shared" si="38"/>
        <v>0</v>
      </c>
      <c r="J43" s="271">
        <f t="shared" si="38"/>
        <v>0</v>
      </c>
      <c r="K43" s="271">
        <f t="shared" si="38"/>
        <v>0</v>
      </c>
      <c r="L43" s="272">
        <f t="shared" si="38"/>
        <v>0</v>
      </c>
      <c r="M43" s="272">
        <f t="shared" si="38"/>
        <v>0</v>
      </c>
      <c r="N43" s="272">
        <f t="shared" si="38"/>
        <v>0</v>
      </c>
      <c r="O43" s="272">
        <f t="shared" si="38"/>
        <v>0</v>
      </c>
      <c r="P43" s="272">
        <f t="shared" si="38"/>
        <v>0</v>
      </c>
      <c r="Q43" s="272">
        <f t="shared" si="38"/>
        <v>0</v>
      </c>
      <c r="R43" s="272">
        <f t="shared" si="38"/>
        <v>0</v>
      </c>
      <c r="S43" s="272">
        <f t="shared" si="38"/>
        <v>0</v>
      </c>
      <c r="T43" s="272">
        <f t="shared" si="38"/>
        <v>0</v>
      </c>
      <c r="U43" s="272">
        <f t="shared" si="38"/>
        <v>0</v>
      </c>
      <c r="V43" s="272">
        <f t="shared" si="38"/>
        <v>0</v>
      </c>
      <c r="W43" s="272">
        <f t="shared" si="38"/>
        <v>0</v>
      </c>
      <c r="X43" s="272">
        <f t="shared" si="38"/>
        <v>0</v>
      </c>
      <c r="Y43" s="272">
        <f t="shared" si="38"/>
        <v>0</v>
      </c>
      <c r="Z43" s="272">
        <f t="shared" si="38"/>
        <v>0</v>
      </c>
      <c r="AA43" s="272">
        <f t="shared" si="38"/>
        <v>0</v>
      </c>
      <c r="AB43" s="272">
        <f t="shared" si="38"/>
        <v>0</v>
      </c>
      <c r="AC43" s="272">
        <f t="shared" si="38"/>
        <v>0</v>
      </c>
      <c r="AD43" s="272">
        <f t="shared" si="38"/>
        <v>0</v>
      </c>
      <c r="AE43" s="272">
        <f t="shared" si="38"/>
        <v>0</v>
      </c>
      <c r="AF43" s="272">
        <f t="shared" si="38"/>
        <v>0</v>
      </c>
      <c r="AG43" s="272">
        <f t="shared" si="38"/>
        <v>0</v>
      </c>
      <c r="AH43" s="272">
        <f t="shared" si="38"/>
        <v>0</v>
      </c>
      <c r="AI43" s="272">
        <f t="shared" si="38"/>
        <v>0</v>
      </c>
      <c r="AJ43" s="272">
        <f t="shared" si="38"/>
        <v>0</v>
      </c>
      <c r="AK43" s="272">
        <f t="shared" si="38"/>
        <v>0</v>
      </c>
      <c r="AL43" s="272">
        <f t="shared" si="38"/>
        <v>0</v>
      </c>
      <c r="AM43" s="272">
        <f t="shared" si="38"/>
        <v>0</v>
      </c>
      <c r="AN43" s="272">
        <f t="shared" si="38"/>
        <v>0</v>
      </c>
      <c r="AO43" s="272">
        <f t="shared" si="38"/>
        <v>0</v>
      </c>
      <c r="AP43" s="272">
        <f t="shared" si="38"/>
        <v>0</v>
      </c>
      <c r="AQ43" s="272">
        <f t="shared" si="38"/>
        <v>0</v>
      </c>
      <c r="AR43" s="272">
        <f t="shared" si="38"/>
        <v>0</v>
      </c>
      <c r="AS43" s="272">
        <f t="shared" si="38"/>
        <v>0</v>
      </c>
      <c r="AT43" s="272">
        <f t="shared" si="38"/>
        <v>0</v>
      </c>
      <c r="AU43" s="272">
        <f t="shared" si="38"/>
        <v>0</v>
      </c>
      <c r="AV43" s="272">
        <f t="shared" si="38"/>
        <v>0</v>
      </c>
    </row>
    <row r="44" spans="1:48" ht="15.6" x14ac:dyDescent="0.3">
      <c r="B44" s="432" t="s">
        <v>250</v>
      </c>
      <c r="C44" s="433"/>
      <c r="D44" s="13" t="s">
        <v>15</v>
      </c>
      <c r="E44" s="13" t="s">
        <v>82</v>
      </c>
      <c r="F44" s="13" t="s">
        <v>84</v>
      </c>
      <c r="G44" s="13" t="s">
        <v>147</v>
      </c>
      <c r="H44" s="39" t="s">
        <v>147</v>
      </c>
      <c r="I44" s="13" t="s">
        <v>146</v>
      </c>
      <c r="J44" s="13" t="s">
        <v>145</v>
      </c>
      <c r="K44" s="13" t="s">
        <v>144</v>
      </c>
      <c r="L44" s="13" t="s">
        <v>141</v>
      </c>
      <c r="M44" s="39" t="s">
        <v>141</v>
      </c>
      <c r="N44" s="13" t="s">
        <v>148</v>
      </c>
      <c r="O44" s="13" t="s">
        <v>156</v>
      </c>
      <c r="P44" s="13" t="s">
        <v>158</v>
      </c>
      <c r="Q44" s="13" t="s">
        <v>171</v>
      </c>
      <c r="R44" s="39" t="s">
        <v>171</v>
      </c>
      <c r="S44" s="13" t="s">
        <v>187</v>
      </c>
      <c r="T44" s="13" t="s">
        <v>190</v>
      </c>
      <c r="U44" s="13" t="s">
        <v>203</v>
      </c>
      <c r="V44" s="15" t="s">
        <v>20</v>
      </c>
      <c r="W44" s="41" t="s">
        <v>20</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160</v>
      </c>
      <c r="AN44" s="15" t="s">
        <v>161</v>
      </c>
      <c r="AO44" s="15" t="s">
        <v>162</v>
      </c>
      <c r="AP44" s="15" t="s">
        <v>163</v>
      </c>
      <c r="AQ44" s="41" t="s">
        <v>163</v>
      </c>
      <c r="AR44" s="15" t="s">
        <v>191</v>
      </c>
      <c r="AS44" s="15" t="s">
        <v>192</v>
      </c>
      <c r="AT44" s="15" t="s">
        <v>193</v>
      </c>
      <c r="AU44" s="15" t="s">
        <v>194</v>
      </c>
      <c r="AV44" s="41" t="s">
        <v>194</v>
      </c>
    </row>
    <row r="45" spans="1:48" ht="16.2" x14ac:dyDescent="0.45">
      <c r="B45" s="434"/>
      <c r="C45" s="435"/>
      <c r="D45" s="14" t="s">
        <v>19</v>
      </c>
      <c r="E45" s="14" t="s">
        <v>81</v>
      </c>
      <c r="F45" s="14" t="s">
        <v>85</v>
      </c>
      <c r="G45" s="14" t="s">
        <v>95</v>
      </c>
      <c r="H45" s="40" t="s">
        <v>96</v>
      </c>
      <c r="I45" s="14" t="s">
        <v>97</v>
      </c>
      <c r="J45" s="14" t="s">
        <v>98</v>
      </c>
      <c r="K45" s="14" t="s">
        <v>99</v>
      </c>
      <c r="L45" s="14" t="s">
        <v>142</v>
      </c>
      <c r="M45" s="40" t="s">
        <v>143</v>
      </c>
      <c r="N45" s="14" t="s">
        <v>149</v>
      </c>
      <c r="O45" s="14" t="s">
        <v>157</v>
      </c>
      <c r="P45" s="14" t="s">
        <v>159</v>
      </c>
      <c r="Q45" s="14" t="s">
        <v>172</v>
      </c>
      <c r="R45" s="40" t="s">
        <v>173</v>
      </c>
      <c r="S45" s="14" t="s">
        <v>188</v>
      </c>
      <c r="T45" s="14" t="s">
        <v>189</v>
      </c>
      <c r="U45" s="14" t="s">
        <v>204</v>
      </c>
      <c r="V45" s="12" t="s">
        <v>25</v>
      </c>
      <c r="W45" s="42" t="s">
        <v>26</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164</v>
      </c>
      <c r="AN45" s="12" t="s">
        <v>165</v>
      </c>
      <c r="AO45" s="12" t="s">
        <v>166</v>
      </c>
      <c r="AP45" s="12" t="s">
        <v>167</v>
      </c>
      <c r="AQ45" s="42" t="s">
        <v>168</v>
      </c>
      <c r="AR45" s="12" t="s">
        <v>195</v>
      </c>
      <c r="AS45" s="12" t="s">
        <v>196</v>
      </c>
      <c r="AT45" s="12" t="s">
        <v>197</v>
      </c>
      <c r="AU45" s="12" t="s">
        <v>198</v>
      </c>
      <c r="AV45" s="42" t="s">
        <v>199</v>
      </c>
    </row>
    <row r="46" spans="1:48" outlineLevel="1" x14ac:dyDescent="0.3">
      <c r="B46" s="200" t="s">
        <v>251</v>
      </c>
      <c r="C46" s="273"/>
      <c r="D46" s="274">
        <f>31+30+31</f>
        <v>92</v>
      </c>
      <c r="E46" s="274">
        <f>31+28+31</f>
        <v>90</v>
      </c>
      <c r="F46" s="274">
        <f>30+31+30</f>
        <v>91</v>
      </c>
      <c r="G46" s="274">
        <f>31+31+30</f>
        <v>92</v>
      </c>
      <c r="H46" s="122"/>
      <c r="I46" s="274">
        <f>31+30+31</f>
        <v>92</v>
      </c>
      <c r="J46" s="274">
        <f>31+29+31</f>
        <v>91</v>
      </c>
      <c r="K46" s="274">
        <f>30+31+30</f>
        <v>91</v>
      </c>
      <c r="L46" s="274">
        <f>31+31+30</f>
        <v>92</v>
      </c>
      <c r="M46" s="122"/>
      <c r="N46" s="274">
        <f>31+30+31</f>
        <v>92</v>
      </c>
      <c r="O46" s="274">
        <f>31+28+31</f>
        <v>90</v>
      </c>
      <c r="P46" s="274">
        <f>30+31+30</f>
        <v>91</v>
      </c>
      <c r="Q46" s="274">
        <f>31+31+30</f>
        <v>92</v>
      </c>
      <c r="R46" s="122"/>
      <c r="S46" s="274">
        <f>31+30+31</f>
        <v>92</v>
      </c>
      <c r="T46" s="274">
        <f>31+28+31</f>
        <v>90</v>
      </c>
      <c r="U46" s="274">
        <f>30+31+30</f>
        <v>91</v>
      </c>
      <c r="V46" s="274">
        <f>31+31+30</f>
        <v>92</v>
      </c>
      <c r="W46" s="122"/>
      <c r="X46" s="274">
        <f>31+30+31</f>
        <v>92</v>
      </c>
      <c r="Y46" s="274">
        <f>31+28+31</f>
        <v>90</v>
      </c>
      <c r="Z46" s="274">
        <f>30+31+30</f>
        <v>91</v>
      </c>
      <c r="AA46" s="274">
        <f>31+31+30</f>
        <v>92</v>
      </c>
      <c r="AB46" s="122"/>
      <c r="AC46" s="274">
        <f>31+30+31</f>
        <v>92</v>
      </c>
      <c r="AD46" s="274">
        <f>31+29+31</f>
        <v>91</v>
      </c>
      <c r="AE46" s="274">
        <f>30+31+30</f>
        <v>91</v>
      </c>
      <c r="AF46" s="274">
        <f>31+31+30</f>
        <v>92</v>
      </c>
      <c r="AG46" s="122"/>
      <c r="AH46" s="274">
        <f>31+30+31</f>
        <v>92</v>
      </c>
      <c r="AI46" s="274">
        <f>31+28+31</f>
        <v>90</v>
      </c>
      <c r="AJ46" s="274">
        <f>30+31+30</f>
        <v>91</v>
      </c>
      <c r="AK46" s="274">
        <f>31+31+30</f>
        <v>92</v>
      </c>
      <c r="AL46" s="122"/>
      <c r="AM46" s="274">
        <f>31+30+31</f>
        <v>92</v>
      </c>
      <c r="AN46" s="274">
        <f>31+28+31</f>
        <v>90</v>
      </c>
      <c r="AO46" s="274">
        <f>30+31+30</f>
        <v>91</v>
      </c>
      <c r="AP46" s="274">
        <f>31+31+30</f>
        <v>92</v>
      </c>
      <c r="AQ46" s="122"/>
      <c r="AR46" s="274">
        <f>31+30+31</f>
        <v>92</v>
      </c>
      <c r="AS46" s="274">
        <f>31+28+31</f>
        <v>90</v>
      </c>
      <c r="AT46" s="274">
        <f>30+31+30</f>
        <v>91</v>
      </c>
      <c r="AU46" s="274">
        <f>31+31+30</f>
        <v>92</v>
      </c>
      <c r="AV46" s="122"/>
    </row>
    <row r="47" spans="1:48" outlineLevel="1" x14ac:dyDescent="0.3">
      <c r="B47" s="436" t="s">
        <v>252</v>
      </c>
      <c r="C47" s="437"/>
      <c r="D47" s="275">
        <v>9.1942057111172737</v>
      </c>
      <c r="E47" s="276">
        <v>8.9623365548607161</v>
      </c>
      <c r="F47" s="276">
        <v>8.6301543131798635</v>
      </c>
      <c r="G47" s="276">
        <v>7.6757679180887379</v>
      </c>
      <c r="H47" s="126"/>
      <c r="I47" s="276">
        <v>7.8153287082920375</v>
      </c>
      <c r="J47" s="276">
        <v>6.3716259298618487</v>
      </c>
      <c r="K47" s="276">
        <v>4.7918510952218822</v>
      </c>
      <c r="L47" s="276">
        <v>7.0218474077428121</v>
      </c>
      <c r="M47" s="31"/>
      <c r="N47" s="276">
        <v>7.6006756756756761</v>
      </c>
      <c r="O47" s="276">
        <v>7.5755510111338324</v>
      </c>
      <c r="P47" s="276">
        <v>8.2270632133450388</v>
      </c>
      <c r="Q47" s="276">
        <v>8.6667021276595744</v>
      </c>
      <c r="R47" s="31"/>
      <c r="S47" s="276">
        <v>7.8075841334497138</v>
      </c>
      <c r="T47" s="276">
        <v>7.6211198722427387</v>
      </c>
      <c r="U47" s="276">
        <v>7.1111595846784761</v>
      </c>
      <c r="V47" s="277">
        <f>AVERAGE(Q47,L47,G47)</f>
        <v>7.7881058178303748</v>
      </c>
      <c r="W47" s="31"/>
      <c r="X47" s="277">
        <f t="shared" ref="X47:AA47" si="39">AVERAGE(S47,N47,I47)</f>
        <v>7.7411961724724749</v>
      </c>
      <c r="Y47" s="277">
        <f t="shared" si="39"/>
        <v>7.1894322710794727</v>
      </c>
      <c r="Z47" s="277">
        <f t="shared" si="39"/>
        <v>6.7100246310817999</v>
      </c>
      <c r="AA47" s="277">
        <f t="shared" si="39"/>
        <v>7.8255517844109201</v>
      </c>
      <c r="AB47" s="278"/>
      <c r="AC47" s="277">
        <f t="shared" ref="AC47" si="40">AVERAGE(X47,S47,N47)</f>
        <v>7.7164853271992895</v>
      </c>
      <c r="AD47" s="277">
        <f t="shared" ref="AD47" si="41">AVERAGE(Y47,T47,O47)</f>
        <v>7.4620343848186819</v>
      </c>
      <c r="AE47" s="277">
        <f t="shared" ref="AE47" si="42">AVERAGE(Z47,U47,P47)</f>
        <v>7.3494158097017719</v>
      </c>
      <c r="AF47" s="277">
        <f t="shared" ref="AF47" si="43">AVERAGE(AA47,V47,Q47)</f>
        <v>8.0934532433002904</v>
      </c>
      <c r="AG47" s="278"/>
      <c r="AH47" s="277">
        <f t="shared" ref="AH47" si="44">AVERAGE(AC47,X47,S47)</f>
        <v>7.7550885443738267</v>
      </c>
      <c r="AI47" s="277">
        <f t="shared" ref="AI47" si="45">AVERAGE(AD47,Y47,T47)</f>
        <v>7.4241955093802972</v>
      </c>
      <c r="AJ47" s="277">
        <f t="shared" ref="AJ47" si="46">AVERAGE(AE47,Z47,U47)</f>
        <v>7.0568666751540157</v>
      </c>
      <c r="AK47" s="277">
        <f t="shared" ref="AK47" si="47">AVERAGE(AF47,AA47,V47)</f>
        <v>7.9023702818471948</v>
      </c>
      <c r="AL47" s="278"/>
      <c r="AM47" s="277">
        <f t="shared" ref="AM47" si="48">AVERAGE(AH47,AC47,X47)</f>
        <v>7.7375900146818637</v>
      </c>
      <c r="AN47" s="277">
        <f t="shared" ref="AN47" si="49">AVERAGE(AI47,AD47,Y47)</f>
        <v>7.3585540550928172</v>
      </c>
      <c r="AO47" s="277">
        <f t="shared" ref="AO47" si="50">AVERAGE(AJ47,AE47,Z47)</f>
        <v>7.0387690386458628</v>
      </c>
      <c r="AP47" s="277">
        <f t="shared" ref="AP47" si="51">AVERAGE(AK47,AF47,AA47)</f>
        <v>7.9404584365194681</v>
      </c>
      <c r="AQ47" s="278"/>
      <c r="AR47" s="277">
        <f t="shared" ref="AR47" si="52">AVERAGE(AM47,AH47,AC47)</f>
        <v>7.7363879620849936</v>
      </c>
      <c r="AS47" s="277">
        <f t="shared" ref="AS47" si="53">AVERAGE(AN47,AI47,AD47)</f>
        <v>7.4149279830972654</v>
      </c>
      <c r="AT47" s="277">
        <f t="shared" ref="AT47" si="54">AVERAGE(AO47,AJ47,AE47)</f>
        <v>7.1483505078338831</v>
      </c>
      <c r="AU47" s="277">
        <f t="shared" ref="AU47" si="55">AVERAGE(AP47,AK47,AF47)</f>
        <v>7.9787606538889841</v>
      </c>
      <c r="AV47" s="278"/>
    </row>
    <row r="48" spans="1:48" s="23" customFormat="1" outlineLevel="1" x14ac:dyDescent="0.3">
      <c r="B48" s="458" t="s">
        <v>253</v>
      </c>
      <c r="C48" s="459"/>
      <c r="D48" s="279">
        <f>D46/D47</f>
        <v>10.00630210924661</v>
      </c>
      <c r="E48" s="279">
        <f>E46/E47</f>
        <v>10.042024136126486</v>
      </c>
      <c r="F48" s="274">
        <f>F46/F47</f>
        <v>10.544423274219552</v>
      </c>
      <c r="G48" s="274">
        <f>G46/G47</f>
        <v>11.985771453979545</v>
      </c>
      <c r="H48" s="126"/>
      <c r="I48" s="274">
        <f>I46/I47</f>
        <v>11.771737752039567</v>
      </c>
      <c r="J48" s="274">
        <f>J46/J47</f>
        <v>14.28206881598479</v>
      </c>
      <c r="K48" s="274">
        <f>K46/K47</f>
        <v>18.990573411335589</v>
      </c>
      <c r="L48" s="279">
        <f>L46/L47</f>
        <v>13.101965146459028</v>
      </c>
      <c r="M48" s="31"/>
      <c r="N48" s="279">
        <f>N46/N47</f>
        <v>12.104187038847897</v>
      </c>
      <c r="O48" s="279">
        <f>O46/O47</f>
        <v>11.880323935212958</v>
      </c>
      <c r="P48" s="279">
        <f>P46/P47</f>
        <v>11.061055159074236</v>
      </c>
      <c r="Q48" s="279">
        <f>Q46/Q47</f>
        <v>10.615341181091731</v>
      </c>
      <c r="R48" s="31"/>
      <c r="S48" s="279">
        <f>S46/S47</f>
        <v>11.783414488721057</v>
      </c>
      <c r="T48" s="279">
        <f>T46/T47</f>
        <v>11.809288071664309</v>
      </c>
      <c r="U48" s="279">
        <f>U46/U47</f>
        <v>12.79678776947522</v>
      </c>
      <c r="V48" s="279">
        <f>V46/V47</f>
        <v>11.812885206229714</v>
      </c>
      <c r="W48" s="31"/>
      <c r="X48" s="279">
        <f>X46/X47</f>
        <v>11.884468233365535</v>
      </c>
      <c r="Y48" s="279">
        <f>Y46/Y47</f>
        <v>12.518373719443463</v>
      </c>
      <c r="Z48" s="279">
        <f>Z46/Z47</f>
        <v>13.561798205400752</v>
      </c>
      <c r="AA48" s="279">
        <f>AA46/AA47</f>
        <v>11.756359491898172</v>
      </c>
      <c r="AB48" s="31"/>
      <c r="AC48" s="279">
        <f>AC46/AC47</f>
        <v>11.922526396274707</v>
      </c>
      <c r="AD48" s="279">
        <f>AD46/AD47</f>
        <v>12.195065756482867</v>
      </c>
      <c r="AE48" s="279">
        <f>AE46/AE47</f>
        <v>12.381936517984638</v>
      </c>
      <c r="AF48" s="279">
        <f>AF46/AF47</f>
        <v>11.367212144724135</v>
      </c>
      <c r="AG48" s="31"/>
      <c r="AH48" s="279">
        <f>AH46/AH47</f>
        <v>11.863178540591171</v>
      </c>
      <c r="AI48" s="279">
        <f>AI46/AI47</f>
        <v>12.122525583585064</v>
      </c>
      <c r="AJ48" s="279">
        <f>AJ46/AJ47</f>
        <v>12.89524149866611</v>
      </c>
      <c r="AK48" s="279">
        <f>AK46/AK47</f>
        <v>11.642076581925849</v>
      </c>
      <c r="AL48" s="31"/>
      <c r="AM48" s="279">
        <f>AM46/AM47</f>
        <v>11.890007072671533</v>
      </c>
      <c r="AN48" s="279">
        <f>AN46/AN47</f>
        <v>12.230663704605318</v>
      </c>
      <c r="AO48" s="279">
        <f>AO46/AO47</f>
        <v>12.928396925708309</v>
      </c>
      <c r="AP48" s="279">
        <f>AP46/AP47</f>
        <v>11.58623280198495</v>
      </c>
      <c r="AQ48" s="31"/>
      <c r="AR48" s="279">
        <f>AR46/AR47</f>
        <v>11.89185449991388</v>
      </c>
      <c r="AS48" s="279">
        <f>AS46/AS47</f>
        <v>12.137676887106648</v>
      </c>
      <c r="AT48" s="279">
        <f>AT46/AT47</f>
        <v>12.730209563769016</v>
      </c>
      <c r="AU48" s="279">
        <f>AU46/AU47</f>
        <v>11.530612834608297</v>
      </c>
      <c r="AV48" s="31"/>
    </row>
    <row r="49" spans="2:48" outlineLevel="1" x14ac:dyDescent="0.3">
      <c r="B49" s="436" t="s">
        <v>254</v>
      </c>
      <c r="C49" s="437"/>
      <c r="D49" s="275">
        <v>1.6062306215857083</v>
      </c>
      <c r="E49" s="275">
        <v>1.3943173943173943</v>
      </c>
      <c r="F49" s="276">
        <v>1.4497759029791721</v>
      </c>
      <c r="G49" s="276">
        <v>1.3989146070354381</v>
      </c>
      <c r="H49" s="126"/>
      <c r="I49" s="276">
        <v>1.5875630013487614</v>
      </c>
      <c r="J49" s="276">
        <v>1.3387615601125855</v>
      </c>
      <c r="K49" s="276">
        <v>0.93698699330723578</v>
      </c>
      <c r="L49" s="276">
        <v>1.2742039448240299</v>
      </c>
      <c r="M49" s="31"/>
      <c r="N49" s="276">
        <v>1.3925246347264695</v>
      </c>
      <c r="O49" s="276">
        <v>1.3250864591646716</v>
      </c>
      <c r="P49" s="276">
        <v>1.4248805063945227</v>
      </c>
      <c r="Q49" s="276">
        <v>1.5531516927489244</v>
      </c>
      <c r="R49" s="31"/>
      <c r="S49" s="276">
        <v>1.5435220817298883</v>
      </c>
      <c r="T49" s="276">
        <v>1.2842708333333335</v>
      </c>
      <c r="U49" s="276">
        <v>1.2253739040742651</v>
      </c>
      <c r="V49" s="277">
        <f>AVERAGE(Q49,L49,G49)</f>
        <v>1.4087567482027976</v>
      </c>
      <c r="W49" s="31"/>
      <c r="X49" s="277">
        <f t="shared" ref="X49" si="56">AVERAGE(S49,N49,I49)</f>
        <v>1.5078699059350396</v>
      </c>
      <c r="Y49" s="277">
        <f t="shared" ref="Y49" si="57">AVERAGE(T49,O49,J49)</f>
        <v>1.3160396175368636</v>
      </c>
      <c r="Z49" s="277">
        <f t="shared" ref="Z49" si="58">AVERAGE(U49,P49,K49)</f>
        <v>1.1957471345920079</v>
      </c>
      <c r="AA49" s="277">
        <f t="shared" ref="AA49" si="59">AVERAGE(V49,Q49,L49)</f>
        <v>1.4120374619252507</v>
      </c>
      <c r="AB49" s="278"/>
      <c r="AC49" s="277">
        <f t="shared" ref="AC49" si="60">AVERAGE(X49,S49,N49)</f>
        <v>1.4813055407971323</v>
      </c>
      <c r="AD49" s="277">
        <f t="shared" ref="AD49" si="61">AVERAGE(Y49,T49,O49)</f>
        <v>1.3084656366782896</v>
      </c>
      <c r="AE49" s="277">
        <f t="shared" ref="AE49" si="62">AVERAGE(Z49,U49,P49)</f>
        <v>1.2820005150202654</v>
      </c>
      <c r="AF49" s="277">
        <f t="shared" ref="AF49" si="63">AVERAGE(AA49,V49,Q49)</f>
        <v>1.4579819676256578</v>
      </c>
      <c r="AG49" s="278"/>
      <c r="AH49" s="277">
        <f t="shared" ref="AH49" si="64">AVERAGE(AC49,X49,S49)</f>
        <v>1.5108991761540198</v>
      </c>
      <c r="AI49" s="277">
        <f t="shared" ref="AI49" si="65">AVERAGE(AD49,Y49,T49)</f>
        <v>1.3029253625161621</v>
      </c>
      <c r="AJ49" s="277">
        <f t="shared" ref="AJ49" si="66">AVERAGE(AE49,Z49,U49)</f>
        <v>1.234373851228846</v>
      </c>
      <c r="AK49" s="277">
        <f t="shared" ref="AK49" si="67">AVERAGE(AF49,AA49,V49)</f>
        <v>1.4262587259179023</v>
      </c>
      <c r="AL49" s="278"/>
      <c r="AM49" s="277">
        <f t="shared" ref="AM49" si="68">AVERAGE(AH49,AC49,X49)</f>
        <v>1.500024874295397</v>
      </c>
      <c r="AN49" s="277">
        <f t="shared" ref="AN49" si="69">AVERAGE(AI49,AD49,Y49)</f>
        <v>1.3091435389104384</v>
      </c>
      <c r="AO49" s="277">
        <f t="shared" ref="AO49" si="70">AVERAGE(AJ49,AE49,Z49)</f>
        <v>1.2373738336137066</v>
      </c>
      <c r="AP49" s="277">
        <f t="shared" ref="AP49" si="71">AVERAGE(AK49,AF49,AA49)</f>
        <v>1.4320927184896035</v>
      </c>
      <c r="AQ49" s="278"/>
      <c r="AR49" s="277">
        <f t="shared" ref="AR49" si="72">AVERAGE(AM49,AH49,AC49)</f>
        <v>1.4974098637488495</v>
      </c>
      <c r="AS49" s="277">
        <f t="shared" ref="AS49" si="73">AVERAGE(AN49,AI49,AD49)</f>
        <v>1.3068448460349635</v>
      </c>
      <c r="AT49" s="277">
        <f t="shared" ref="AT49" si="74">AVERAGE(AO49,AJ49,AE49)</f>
        <v>1.2512493999542726</v>
      </c>
      <c r="AU49" s="277">
        <f t="shared" ref="AU49" si="75">AVERAGE(AP49,AK49,AF49)</f>
        <v>1.4387778040110544</v>
      </c>
      <c r="AV49" s="278"/>
    </row>
    <row r="50" spans="2:48" s="23" customFormat="1" outlineLevel="1" x14ac:dyDescent="0.3">
      <c r="B50" s="458" t="s">
        <v>253</v>
      </c>
      <c r="C50" s="459"/>
      <c r="D50" s="279">
        <f>D46/D49</f>
        <v>57.276955602536987</v>
      </c>
      <c r="E50" s="279">
        <f>E46/E49</f>
        <v>64.547713717693838</v>
      </c>
      <c r="F50" s="274">
        <f>F46/F49</f>
        <v>62.768321513002363</v>
      </c>
      <c r="G50" s="274">
        <f>G46/G49</f>
        <v>65.765272259873825</v>
      </c>
      <c r="H50" s="126"/>
      <c r="I50" s="274">
        <f>I46/I49</f>
        <v>57.950456090144868</v>
      </c>
      <c r="J50" s="274">
        <f>J46/J49</f>
        <v>67.973269259648589</v>
      </c>
      <c r="K50" s="274">
        <f>K46/K49</f>
        <v>97.119811320754721</v>
      </c>
      <c r="L50" s="279">
        <f>L46/L49</f>
        <v>72.201942533387296</v>
      </c>
      <c r="M50" s="31"/>
      <c r="N50" s="279">
        <f>N46/N49</f>
        <v>66.067053828510083</v>
      </c>
      <c r="O50" s="279">
        <f>O46/O49</f>
        <v>67.920096366191515</v>
      </c>
      <c r="P50" s="279">
        <f>P46/P49</f>
        <v>63.865004533091565</v>
      </c>
      <c r="Q50" s="279">
        <f>Q46/Q49</f>
        <v>59.234394444221429</v>
      </c>
      <c r="R50" s="31"/>
      <c r="S50" s="279">
        <f>S46/S49</f>
        <v>59.603941588507659</v>
      </c>
      <c r="T50" s="279">
        <f>T46/T49</f>
        <v>70.078676291670035</v>
      </c>
      <c r="U50" s="279">
        <f>U46/U49</f>
        <v>74.263047138047142</v>
      </c>
      <c r="V50" s="279">
        <f>V46/V49</f>
        <v>65.305809620694106</v>
      </c>
      <c r="W50" s="31"/>
      <c r="X50" s="279">
        <f>X46/X49</f>
        <v>61.01322112596327</v>
      </c>
      <c r="Y50" s="279">
        <f>Y46/Y49</f>
        <v>68.38699899357627</v>
      </c>
      <c r="Z50" s="279">
        <f>Z46/Z49</f>
        <v>76.103046678886201</v>
      </c>
      <c r="AA50" s="279">
        <f>AA46/AA49</f>
        <v>65.154078755504173</v>
      </c>
      <c r="AB50" s="31"/>
      <c r="AC50" s="279">
        <f>AC46/AC49</f>
        <v>62.1073758695942</v>
      </c>
      <c r="AD50" s="279">
        <f>AD46/AD49</f>
        <v>69.547107275216902</v>
      </c>
      <c r="AE50" s="279">
        <f>AE46/AE49</f>
        <v>70.982810797514773</v>
      </c>
      <c r="AF50" s="279">
        <f>AF46/AF49</f>
        <v>63.100917599017478</v>
      </c>
      <c r="AG50" s="31"/>
      <c r="AH50" s="279">
        <f>AH46/AH49</f>
        <v>60.890892954343364</v>
      </c>
      <c r="AI50" s="279">
        <f>AI46/AI49</f>
        <v>69.075330474951585</v>
      </c>
      <c r="AJ50" s="279">
        <f>AJ46/AJ49</f>
        <v>73.721587596340868</v>
      </c>
      <c r="AK50" s="279">
        <f>AK46/AK49</f>
        <v>64.504425689519437</v>
      </c>
      <c r="AL50" s="31"/>
      <c r="AM50" s="279">
        <f>AM46/AM49</f>
        <v>61.332316267898513</v>
      </c>
      <c r="AN50" s="279">
        <f>AN46/AN49</f>
        <v>68.747236131879276</v>
      </c>
      <c r="AO50" s="279">
        <f>AO46/AO49</f>
        <v>73.542851422870086</v>
      </c>
      <c r="AP50" s="279">
        <f>AP46/AP49</f>
        <v>64.241650566473353</v>
      </c>
      <c r="AQ50" s="31"/>
      <c r="AR50" s="279">
        <f>AR46/AR49</f>
        <v>61.439424320120906</v>
      </c>
      <c r="AS50" s="279">
        <f>AS46/AS49</f>
        <v>68.868160036797605</v>
      </c>
      <c r="AT50" s="279">
        <f>AT46/AT49</f>
        <v>72.727307604163983</v>
      </c>
      <c r="AU50" s="279">
        <f>AU46/AU49</f>
        <v>63.943160468225535</v>
      </c>
      <c r="AV50" s="31"/>
    </row>
    <row r="51" spans="2:48" s="23" customFormat="1" outlineLevel="1" x14ac:dyDescent="0.3">
      <c r="B51" s="436" t="s">
        <v>255</v>
      </c>
      <c r="C51" s="437"/>
      <c r="D51" s="275">
        <v>1.9771013175829171</v>
      </c>
      <c r="E51" s="275">
        <v>1.8345946931704202</v>
      </c>
      <c r="F51" s="276">
        <v>1.9203771608171816</v>
      </c>
      <c r="G51" s="276">
        <v>1.7983525258468513</v>
      </c>
      <c r="H51" s="127"/>
      <c r="I51" s="276">
        <v>2.0600589535740608</v>
      </c>
      <c r="J51" s="276">
        <v>2.0023053021950488</v>
      </c>
      <c r="K51" s="276">
        <v>1.7239776951672863</v>
      </c>
      <c r="L51" s="276">
        <v>1.9809600160336707</v>
      </c>
      <c r="M51" s="280"/>
      <c r="N51" s="276">
        <v>1.9504092899295642</v>
      </c>
      <c r="O51" s="276">
        <v>1.9276315789473686</v>
      </c>
      <c r="P51" s="276">
        <v>1.9574090505767525</v>
      </c>
      <c r="Q51" s="276">
        <v>2.0560415978870914</v>
      </c>
      <c r="R51" s="280"/>
      <c r="S51" s="276">
        <v>1.9597487203350394</v>
      </c>
      <c r="T51" s="276">
        <v>1.8546822113576533</v>
      </c>
      <c r="U51" s="276">
        <v>1.7543294401933145</v>
      </c>
      <c r="V51" s="277">
        <f>AVERAGE(Q51,L51,G51)</f>
        <v>1.9451180465892044</v>
      </c>
      <c r="W51" s="280"/>
      <c r="X51" s="277">
        <f t="shared" ref="X51" si="76">AVERAGE(S51,N51,I51)</f>
        <v>1.9900723212795548</v>
      </c>
      <c r="Y51" s="277">
        <f t="shared" ref="Y51" si="77">AVERAGE(T51,O51,J51)</f>
        <v>1.9282063641666902</v>
      </c>
      <c r="Z51" s="277">
        <f t="shared" ref="Z51" si="78">AVERAGE(U51,P51,K51)</f>
        <v>1.8119053953124509</v>
      </c>
      <c r="AA51" s="277">
        <f t="shared" ref="AA51" si="79">AVERAGE(V51,Q51,L51)</f>
        <v>1.9940398868366556</v>
      </c>
      <c r="AB51" s="31"/>
      <c r="AC51" s="277">
        <f t="shared" ref="AC51" si="80">AVERAGE(X51,S51,N51)</f>
        <v>1.9667434438480529</v>
      </c>
      <c r="AD51" s="277">
        <f t="shared" ref="AD51" si="81">AVERAGE(Y51,T51,O51)</f>
        <v>1.9035067181572376</v>
      </c>
      <c r="AE51" s="277">
        <f t="shared" ref="AE51" si="82">AVERAGE(Z51,U51,P51)</f>
        <v>1.8412146286941729</v>
      </c>
      <c r="AF51" s="277">
        <f t="shared" ref="AF51" si="83">AVERAGE(AA51,V51,Q51)</f>
        <v>1.9983998437709838</v>
      </c>
      <c r="AG51" s="31"/>
      <c r="AH51" s="277">
        <f t="shared" ref="AH51" si="84">AVERAGE(AC51,X51,S51)</f>
        <v>1.9721881618208823</v>
      </c>
      <c r="AI51" s="277">
        <f t="shared" ref="AI51" si="85">AVERAGE(AD51,Y51,T51)</f>
        <v>1.8954650978938605</v>
      </c>
      <c r="AJ51" s="277">
        <f t="shared" ref="AJ51" si="86">AVERAGE(AE51,Z51,U51)</f>
        <v>1.8024831547333129</v>
      </c>
      <c r="AK51" s="277">
        <f t="shared" ref="AK51" si="87">AVERAGE(AF51,AA51,V51)</f>
        <v>1.9791859257322812</v>
      </c>
      <c r="AL51" s="31"/>
      <c r="AM51" s="277">
        <f t="shared" ref="AM51" si="88">AVERAGE(AH51,AC51,X51)</f>
        <v>1.9763346423161634</v>
      </c>
      <c r="AN51" s="277">
        <f t="shared" ref="AN51" si="89">AVERAGE(AI51,AD51,Y51)</f>
        <v>1.9090593934059295</v>
      </c>
      <c r="AO51" s="277">
        <f t="shared" ref="AO51" si="90">AVERAGE(AJ51,AE51,Z51)</f>
        <v>1.8185343929133122</v>
      </c>
      <c r="AP51" s="277">
        <f t="shared" ref="AP51" si="91">AVERAGE(AK51,AF51,AA51)</f>
        <v>1.9905418854466401</v>
      </c>
      <c r="AQ51" s="31"/>
      <c r="AR51" s="277">
        <f t="shared" ref="AR51" si="92">AVERAGE(AM51,AH51,AC51)</f>
        <v>1.9717554159950328</v>
      </c>
      <c r="AS51" s="277">
        <f t="shared" ref="AS51" si="93">AVERAGE(AN51,AI51,AD51)</f>
        <v>1.9026770698190092</v>
      </c>
      <c r="AT51" s="277">
        <f t="shared" ref="AT51" si="94">AVERAGE(AO51,AJ51,AE51)</f>
        <v>1.8207440587802661</v>
      </c>
      <c r="AU51" s="277">
        <f t="shared" ref="AU51" si="95">AVERAGE(AP51,AK51,AF51)</f>
        <v>1.9893758849833016</v>
      </c>
      <c r="AV51" s="31"/>
    </row>
    <row r="52" spans="2:48" s="23" customFormat="1" outlineLevel="1" x14ac:dyDescent="0.3">
      <c r="B52" s="458" t="s">
        <v>256</v>
      </c>
      <c r="C52" s="459"/>
      <c r="D52" s="16">
        <f>D46/D51</f>
        <v>46.532769556025364</v>
      </c>
      <c r="E52" s="16">
        <f>E46/E51</f>
        <v>49.057157057654081</v>
      </c>
      <c r="F52" s="101">
        <f>F46/F51</f>
        <v>47.386524822695037</v>
      </c>
      <c r="G52" s="101">
        <f>G46/G51</f>
        <v>51.157934096751603</v>
      </c>
      <c r="H52" s="128"/>
      <c r="I52" s="101">
        <f>I46/I51</f>
        <v>44.658916115185114</v>
      </c>
      <c r="J52" s="101">
        <f>J46/J51</f>
        <v>45.447614756970509</v>
      </c>
      <c r="K52" s="101">
        <f>K46/K51</f>
        <v>52.784905660377355</v>
      </c>
      <c r="L52" s="16">
        <f>L46/L51</f>
        <v>46.44212869283691</v>
      </c>
      <c r="M52" s="28"/>
      <c r="N52" s="16">
        <f>N46/N51</f>
        <v>47.169586647796592</v>
      </c>
      <c r="O52" s="16">
        <f>O46/O51</f>
        <v>46.689419795221838</v>
      </c>
      <c r="P52" s="16">
        <f>P46/P51</f>
        <v>46.490027198549406</v>
      </c>
      <c r="Q52" s="16">
        <f>Q46/Q51</f>
        <v>44.74617638794107</v>
      </c>
      <c r="R52" s="28"/>
      <c r="S52" s="16">
        <f>S46/S51</f>
        <v>46.944794016383717</v>
      </c>
      <c r="T52" s="16">
        <f>T46/T51</f>
        <v>48.525833400924647</v>
      </c>
      <c r="U52" s="16">
        <f>U46/U51</f>
        <v>51.871671258034894</v>
      </c>
      <c r="V52" s="16">
        <f>V46/V51</f>
        <v>47.297900588256567</v>
      </c>
      <c r="W52" s="28"/>
      <c r="X52" s="16">
        <f>X46/X51</f>
        <v>46.229475691037628</v>
      </c>
      <c r="Y52" s="16">
        <f>Y46/Y51</f>
        <v>46.675501996330745</v>
      </c>
      <c r="Z52" s="16">
        <f>Z46/Z51</f>
        <v>50.223372718810005</v>
      </c>
      <c r="AA52" s="16">
        <f>AA46/AA51</f>
        <v>46.137492337702824</v>
      </c>
      <c r="AB52" s="28"/>
      <c r="AC52" s="16">
        <f>AC46/AC51</f>
        <v>46.77783484560468</v>
      </c>
      <c r="AD52" s="16">
        <f>AD46/AD51</f>
        <v>47.80650319327269</v>
      </c>
      <c r="AE52" s="16">
        <f>AE46/AE51</f>
        <v>49.423895824974551</v>
      </c>
      <c r="AF52" s="16">
        <f>AF46/AF51</f>
        <v>46.036833062594646</v>
      </c>
      <c r="AG52" s="28"/>
      <c r="AH52" s="16">
        <f>AH46/AH51</f>
        <v>46.648692949793499</v>
      </c>
      <c r="AI52" s="16">
        <f>AI46/AI51</f>
        <v>47.481750046467852</v>
      </c>
      <c r="AJ52" s="16">
        <f>AJ46/AJ51</f>
        <v>50.485908709345992</v>
      </c>
      <c r="AK52" s="16">
        <f>AK46/AK51</f>
        <v>46.483758197684644</v>
      </c>
      <c r="AL52" s="28"/>
      <c r="AM52" s="16">
        <f>AM46/AM51</f>
        <v>46.550820913699461</v>
      </c>
      <c r="AN52" s="16">
        <f>AN46/AN51</f>
        <v>47.143635400170609</v>
      </c>
      <c r="AO52" s="16">
        <f>AO46/AO51</f>
        <v>50.040296380766819</v>
      </c>
      <c r="AP52" s="16">
        <f>AP46/AP51</f>
        <v>46.218570266034334</v>
      </c>
      <c r="AQ52" s="28"/>
      <c r="AR52" s="16">
        <f>AR46/AR51</f>
        <v>46.658931048794827</v>
      </c>
      <c r="AS52" s="16">
        <f>AS46/AS51</f>
        <v>47.301773604998132</v>
      </c>
      <c r="AT52" s="16">
        <f>AT46/AT51</f>
        <v>49.979567178135831</v>
      </c>
      <c r="AU52" s="16">
        <f>AU46/AU51</f>
        <v>46.245659603324398</v>
      </c>
      <c r="AV52" s="28"/>
    </row>
    <row r="53" spans="2:48" s="23" customFormat="1" outlineLevel="1" x14ac:dyDescent="0.3">
      <c r="B53" s="436" t="s">
        <v>257</v>
      </c>
      <c r="C53" s="437"/>
      <c r="D53" s="30">
        <f t="shared" ref="D53:L53" si="96">(D12+D7)/D20</f>
        <v>2.4783172266068774E-2</v>
      </c>
      <c r="E53" s="30">
        <f t="shared" si="96"/>
        <v>1.862044337628033E-2</v>
      </c>
      <c r="F53" s="118">
        <f t="shared" si="96"/>
        <v>1.4104190097872643E-2</v>
      </c>
      <c r="G53" s="118">
        <f t="shared" si="96"/>
        <v>1.5114935950133718E-2</v>
      </c>
      <c r="H53" s="128">
        <f t="shared" si="96"/>
        <v>1.5114935950133718E-2</v>
      </c>
      <c r="I53" s="118">
        <f t="shared" si="96"/>
        <v>9.6713821566244626E-3</v>
      </c>
      <c r="J53" s="118">
        <f t="shared" si="96"/>
        <v>9.1597553031598795E-3</v>
      </c>
      <c r="K53" s="118">
        <f t="shared" si="96"/>
        <v>1.5555616562459249E-2</v>
      </c>
      <c r="L53" s="118">
        <f t="shared" si="96"/>
        <v>1.6589218539890038E-2</v>
      </c>
      <c r="M53" s="28"/>
      <c r="N53" s="118">
        <f>(N12+N7)/N20</f>
        <v>1.4228367975494099E-2</v>
      </c>
      <c r="O53" s="118">
        <f>(O12+O7)/O20</f>
        <v>1.4373528458035493E-2</v>
      </c>
      <c r="P53" s="118">
        <f>(P12+P7)/P20</f>
        <v>1.4910030939586384E-2</v>
      </c>
      <c r="Q53" s="118">
        <f>(Q12+Q7)/Q20</f>
        <v>1.4140275096678831E-2</v>
      </c>
      <c r="R53" s="28"/>
      <c r="S53" s="118">
        <f>(S12+S7)/S20</f>
        <v>1.3421701538813684E-2</v>
      </c>
      <c r="T53" s="118">
        <f>(T12+T7)/T20</f>
        <v>1.2669917130403319E-2</v>
      </c>
      <c r="U53" s="118">
        <f>(U12+U7)/U20</f>
        <v>1.3119668137035531E-2</v>
      </c>
      <c r="V53" s="34">
        <f>AVERAGE(Q53,S53,T53,U53)</f>
        <v>1.3337890475732842E-2</v>
      </c>
      <c r="W53" s="28"/>
      <c r="X53" s="34">
        <f>AVERAGE(S53,T53,U53,V53)</f>
        <v>1.3137294320496344E-2</v>
      </c>
      <c r="Y53" s="34">
        <f>AVERAGE(T53,U53,V53,X53)</f>
        <v>1.306619251591701E-2</v>
      </c>
      <c r="Z53" s="34">
        <f>AVERAGE(U53,V53,X53,Y53)</f>
        <v>1.3165261362295431E-2</v>
      </c>
      <c r="AA53" s="34">
        <f>AVERAGE(V53,X53,Y53,Z53)</f>
        <v>1.3176659668610407E-2</v>
      </c>
      <c r="AB53" s="28"/>
      <c r="AC53" s="34">
        <f>AVERAGE(X53,Y53,Z53,AA53)</f>
        <v>1.3136351966829798E-2</v>
      </c>
      <c r="AD53" s="34">
        <f>AVERAGE(Y53,Z53,AA53,AC53)</f>
        <v>1.3136116378413162E-2</v>
      </c>
      <c r="AE53" s="34">
        <f>AVERAGE(Z53,AA53,AC53,AD53)</f>
        <v>1.3153597344037201E-2</v>
      </c>
      <c r="AF53" s="34">
        <f>AVERAGE(AA53,AC53,AD53,AE53)</f>
        <v>1.3150681339472642E-2</v>
      </c>
      <c r="AG53" s="28"/>
      <c r="AH53" s="34">
        <f>AVERAGE(AC53,AD53,AE53,AF53)</f>
        <v>1.31441867571882E-2</v>
      </c>
      <c r="AI53" s="34">
        <f>AVERAGE(AD53,AE53,AF53,AH53)</f>
        <v>1.31461454547778E-2</v>
      </c>
      <c r="AJ53" s="34">
        <f>AVERAGE(AE53,AF53,AH53,AI53)</f>
        <v>1.3148652723868962E-2</v>
      </c>
      <c r="AK53" s="34">
        <f>AVERAGE(AF53,AH53,AI53,AJ53)</f>
        <v>1.3147416568826901E-2</v>
      </c>
      <c r="AL53" s="28"/>
      <c r="AM53" s="34">
        <f>AVERAGE(AH53,AI53,AJ53,AK53)</f>
        <v>1.3146600376165465E-2</v>
      </c>
      <c r="AN53" s="34">
        <f>AVERAGE(AI53,AJ53,AK53,AM53)</f>
        <v>1.3147203780909781E-2</v>
      </c>
      <c r="AO53" s="34">
        <f>AVERAGE(AJ53,AK53,AM53,AN53)</f>
        <v>1.3147468362442776E-2</v>
      </c>
      <c r="AP53" s="34">
        <f>AVERAGE(AK53,AM53,AN53,AO53)</f>
        <v>1.3147172272086231E-2</v>
      </c>
      <c r="AQ53" s="28"/>
      <c r="AR53" s="34">
        <f>AVERAGE(AM53,AN53,AO53,AP53)</f>
        <v>1.3147111197901063E-2</v>
      </c>
      <c r="AS53" s="34">
        <f>AVERAGE(AN53,AO53,AP53,AR53)</f>
        <v>1.3147238903334961E-2</v>
      </c>
      <c r="AT53" s="34">
        <f>AVERAGE(AO53,AP53,AR53,AS53)</f>
        <v>1.3147247683941257E-2</v>
      </c>
      <c r="AU53" s="34">
        <f>AVERAGE(AP53,AR53,AS53,AT53)</f>
        <v>1.3147192514315878E-2</v>
      </c>
      <c r="AV53" s="28"/>
    </row>
    <row r="54" spans="2:48" s="23" customFormat="1" outlineLevel="1" x14ac:dyDescent="0.3">
      <c r="B54" s="180" t="s">
        <v>258</v>
      </c>
      <c r="C54" s="201"/>
      <c r="D54" s="30">
        <f t="shared" ref="D54:L54" si="97">D7/(D7+D12)</f>
        <v>0.4648626817447496</v>
      </c>
      <c r="E54" s="30">
        <f t="shared" si="97"/>
        <v>0.23318112633181123</v>
      </c>
      <c r="F54" s="118">
        <f t="shared" si="97"/>
        <v>0.24465558194774345</v>
      </c>
      <c r="G54" s="118">
        <f t="shared" si="97"/>
        <v>0.24268502581755594</v>
      </c>
      <c r="H54" s="128">
        <f t="shared" si="97"/>
        <v>0.24268502581755594</v>
      </c>
      <c r="I54" s="118">
        <f t="shared" si="97"/>
        <v>0.25503355704697983</v>
      </c>
      <c r="J54" s="118">
        <f t="shared" si="97"/>
        <v>0.21017083829956296</v>
      </c>
      <c r="K54" s="118">
        <f t="shared" si="97"/>
        <v>0.50716964482682547</v>
      </c>
      <c r="L54" s="118">
        <f t="shared" si="97"/>
        <v>0.57705725425815724</v>
      </c>
      <c r="M54" s="28"/>
      <c r="N54" s="118">
        <f>N7/(N7+N12)</f>
        <v>0.55229831144465291</v>
      </c>
      <c r="O54" s="118">
        <f>O7/(O7+O12)</f>
        <v>0.30161844041196662</v>
      </c>
      <c r="P54" s="118">
        <f>P7/(P7+P12)</f>
        <v>0.34948805460750854</v>
      </c>
      <c r="Q54" s="118">
        <f>Q7/(Q7+Q12)</f>
        <v>0.3653976120747916</v>
      </c>
      <c r="R54" s="28"/>
      <c r="S54" s="118">
        <f>S7/(S7+S12)</f>
        <v>0.22583979328165377</v>
      </c>
      <c r="T54" s="118">
        <f>T7/(T7+T12)</f>
        <v>0.22327984770193088</v>
      </c>
      <c r="U54" s="118">
        <f>U7/(U7+U12)</f>
        <v>0.20817541959935032</v>
      </c>
      <c r="V54" s="34">
        <f>AVERAGE(Q54,S54,T54,U54)</f>
        <v>0.25567316816443164</v>
      </c>
      <c r="W54" s="28"/>
      <c r="X54" s="34">
        <f>AVERAGE(S54,T54,U54,V54)</f>
        <v>0.22824205718684165</v>
      </c>
      <c r="Y54" s="34">
        <f>AVERAGE(T54,U54,V54,X54)</f>
        <v>0.22884262316313861</v>
      </c>
      <c r="Z54" s="34">
        <f>AVERAGE(U54,V54,X54,Y54)</f>
        <v>0.23023331702844058</v>
      </c>
      <c r="AA54" s="34">
        <f>AVERAGE(V54,X54,Y54,Z54)</f>
        <v>0.23574779138571311</v>
      </c>
      <c r="AB54" s="28"/>
      <c r="AC54" s="34">
        <f>AVERAGE(X54,Y54,Z54,AA54)</f>
        <v>0.23076644719103351</v>
      </c>
      <c r="AD54" s="34">
        <f>AVERAGE(Y54,Z54,AA54,AC54)</f>
        <v>0.23139754469208146</v>
      </c>
      <c r="AE54" s="34">
        <f>AVERAGE(Z54,AA54,AC54,AD54)</f>
        <v>0.23203627507431718</v>
      </c>
      <c r="AF54" s="34">
        <f>AVERAGE(AA54,AC54,AD54,AE54)</f>
        <v>0.2324870145857863</v>
      </c>
      <c r="AG54" s="28"/>
      <c r="AH54" s="34">
        <f>AVERAGE(AC54,AD54,AE54,AF54)</f>
        <v>0.23167182038580458</v>
      </c>
      <c r="AI54" s="34">
        <f>AVERAGE(AD54,AE54,AF54,AH54)</f>
        <v>0.23189816368449739</v>
      </c>
      <c r="AJ54" s="34">
        <f>AVERAGE(AE54,AF54,AH54,AI54)</f>
        <v>0.23202331843260138</v>
      </c>
      <c r="AK54" s="34">
        <f>AVERAGE(AF54,AH54,AI54,AJ54)</f>
        <v>0.23202007927217241</v>
      </c>
      <c r="AL54" s="28"/>
      <c r="AM54" s="34">
        <f>AVERAGE(AH54,AI54,AJ54,AK54)</f>
        <v>0.23190334544376892</v>
      </c>
      <c r="AN54" s="34">
        <f>AVERAGE(AI54,AJ54,AK54,AM54)</f>
        <v>0.23196122670826003</v>
      </c>
      <c r="AO54" s="34">
        <f>AVERAGE(AJ54,AK54,AM54,AN54)</f>
        <v>0.23197699246420067</v>
      </c>
      <c r="AP54" s="34">
        <f>AVERAGE(AK54,AM54,AN54,AO54)</f>
        <v>0.23196541097210052</v>
      </c>
      <c r="AQ54" s="28"/>
      <c r="AR54" s="34">
        <f>AVERAGE(AM54,AN54,AO54,AP54)</f>
        <v>0.23195174389708254</v>
      </c>
      <c r="AS54" s="34">
        <f>AVERAGE(AN54,AO54,AP54,AR54)</f>
        <v>0.23196384351041094</v>
      </c>
      <c r="AT54" s="34">
        <f>AVERAGE(AO54,AP54,AR54,AS54)</f>
        <v>0.23196449771094868</v>
      </c>
      <c r="AU54" s="34">
        <f>AVERAGE(AP54,AR54,AS54,AT54)</f>
        <v>0.23196137402263567</v>
      </c>
      <c r="AV54" s="28"/>
    </row>
    <row r="55" spans="2:48" s="23" customFormat="1" outlineLevel="1" x14ac:dyDescent="0.3">
      <c r="B55" s="200" t="s">
        <v>259</v>
      </c>
      <c r="C55" s="201"/>
      <c r="D55" s="30">
        <f t="shared" ref="D55:L55" si="98">+D16/(D27+D33)</f>
        <v>7.7585075018799465E-2</v>
      </c>
      <c r="E55" s="30">
        <f t="shared" si="98"/>
        <v>0.12468259571674534</v>
      </c>
      <c r="F55" s="113">
        <f t="shared" si="98"/>
        <v>0.19119242713361023</v>
      </c>
      <c r="G55" s="113">
        <f t="shared" si="98"/>
        <v>0.22035590386103276</v>
      </c>
      <c r="H55" s="125">
        <f t="shared" si="98"/>
        <v>0.22035590386103276</v>
      </c>
      <c r="I55" s="281">
        <f t="shared" si="98"/>
        <v>0.20507171706404201</v>
      </c>
      <c r="J55" s="281">
        <f t="shared" si="98"/>
        <v>0.21050752296288999</v>
      </c>
      <c r="K55" s="113">
        <f t="shared" si="98"/>
        <v>0.2146584586535733</v>
      </c>
      <c r="L55" s="113">
        <f t="shared" si="98"/>
        <v>0.22220980757293607</v>
      </c>
      <c r="M55" s="282"/>
      <c r="N55" s="281">
        <f>+N16/(N27+N33)</f>
        <v>0.21164495979407008</v>
      </c>
      <c r="O55" s="281">
        <f>+O16/(O27+O33)</f>
        <v>0.21706605185058006</v>
      </c>
      <c r="P55" s="113">
        <f>+P16/(P27+P33)</f>
        <v>0.22796408734312845</v>
      </c>
      <c r="Q55" s="113">
        <f>+Q16/(Q27+Q33)</f>
        <v>0.23263143527192862</v>
      </c>
      <c r="R55" s="282"/>
      <c r="S55" s="281">
        <f>+S16/(S27+S33)</f>
        <v>0.21831564613072879</v>
      </c>
      <c r="T55" s="281">
        <f>+T16/(T27+T33)</f>
        <v>0.22164512770257855</v>
      </c>
      <c r="U55" s="281">
        <f>+U16/(U27+U33)</f>
        <v>0.21758667345241495</v>
      </c>
      <c r="V55" s="35">
        <f>AVERAGE(Q55,S55,T55,U55)</f>
        <v>0.22254472063941272</v>
      </c>
      <c r="W55" s="282"/>
      <c r="X55" s="283">
        <f>AVERAGE(S55,T55,U55,V55)</f>
        <v>0.22002304198128375</v>
      </c>
      <c r="Y55" s="283">
        <f>AVERAGE(T55,U55,V55,X55)</f>
        <v>0.22044989094392251</v>
      </c>
      <c r="Z55" s="35">
        <f>AVERAGE(U55,V55,X55,Y55)</f>
        <v>0.22015108175425849</v>
      </c>
      <c r="AA55" s="284">
        <f>AVERAGE(V55,X55,Y55,Z55)</f>
        <v>0.22079218382971935</v>
      </c>
      <c r="AB55" s="28"/>
      <c r="AC55" s="283">
        <f>AVERAGE(X55,Y55,Z55,AA55)</f>
        <v>0.22035404962729602</v>
      </c>
      <c r="AD55" s="283">
        <f>AVERAGE(Y55,Z55,AA55,AC55)</f>
        <v>0.22043680153879908</v>
      </c>
      <c r="AE55" s="35">
        <f>AVERAGE(Z55,AA55,AC55,AD55)</f>
        <v>0.22043352918751824</v>
      </c>
      <c r="AF55" s="284">
        <f>AVERAGE(AA55,AC55,AD55,AE55)</f>
        <v>0.22050414104583319</v>
      </c>
      <c r="AG55" s="28"/>
      <c r="AH55" s="283">
        <f>AVERAGE(AC55,AD55,AE55,AF55)</f>
        <v>0.22043213034986162</v>
      </c>
      <c r="AI55" s="283">
        <f>AVERAGE(AD55,AE55,AF55,AH55)</f>
        <v>0.22045165053050303</v>
      </c>
      <c r="AJ55" s="35">
        <f>AVERAGE(AE55,AF55,AH55,AI55)</f>
        <v>0.22045536277842903</v>
      </c>
      <c r="AK55" s="284">
        <f>AVERAGE(AF55,AH55,AI55,AJ55)</f>
        <v>0.2204608211761567</v>
      </c>
      <c r="AL55" s="28"/>
      <c r="AM55" s="283">
        <f>AVERAGE(AH55,AI55,AJ55,AK55)</f>
        <v>0.22044999120873759</v>
      </c>
      <c r="AN55" s="283">
        <f>AVERAGE(AI55,AJ55,AK55,AM55)</f>
        <v>0.22045445642345657</v>
      </c>
      <c r="AO55" s="35">
        <f>AVERAGE(AJ55,AK55,AM55,AN55)</f>
        <v>0.22045515789669495</v>
      </c>
      <c r="AP55" s="284">
        <f>AVERAGE(AK55,AM55,AN55,AO55)</f>
        <v>0.22045510667626145</v>
      </c>
      <c r="AQ55" s="28"/>
      <c r="AR55" s="283">
        <f>AVERAGE(AM55,AN55,AO55,AP55)</f>
        <v>0.22045367805128763</v>
      </c>
      <c r="AS55" s="283">
        <f>AVERAGE(AN55,AO55,AP55,AR55)</f>
        <v>0.22045459976192516</v>
      </c>
      <c r="AT55" s="35">
        <f>AVERAGE(AO55,AP55,AR55,AS55)</f>
        <v>0.2204546355965423</v>
      </c>
      <c r="AU55" s="284">
        <f>AVERAGE(AP55,AR55,AS55,AT55)</f>
        <v>0.22045450502150413</v>
      </c>
      <c r="AV55" s="28"/>
    </row>
    <row r="56" spans="2:48" outlineLevel="1" x14ac:dyDescent="0.3">
      <c r="B56" s="200" t="s">
        <v>260</v>
      </c>
      <c r="C56" s="201"/>
      <c r="D56" s="285"/>
      <c r="E56" s="285">
        <f>+'Cash Flow Statement'!E7/((E14+D14)/2)</f>
        <v>6.122482504846076E-2</v>
      </c>
      <c r="F56" s="286">
        <f>+'Cash Flow Statement'!F7/((F14+E14)/2)</f>
        <v>5.8442138063667992E-2</v>
      </c>
      <c r="G56" s="286">
        <f>+'Cash Flow Statement'!G7/((G14+F14)/2)</f>
        <v>5.7957922263164152E-2</v>
      </c>
      <c r="H56" s="125">
        <f>+'Cash Flow Statement'!H7/((H14+G14)/2)</f>
        <v>0.2253370026587061</v>
      </c>
      <c r="I56" s="287">
        <f>+'Cash Flow Statement'!I7/((I14+G14)/2)</f>
        <v>5.75858250276855E-2</v>
      </c>
      <c r="J56" s="287">
        <f>+'Cash Flow Statement'!J7/((J14+I14)/2)</f>
        <v>5.9117695395957084E-2</v>
      </c>
      <c r="K56" s="286">
        <f>+'Cash Flow Statement'!K7/((K14+J14)/2)</f>
        <v>5.9467301657388859E-2</v>
      </c>
      <c r="L56" s="286">
        <f>+'Cash Flow Statement'!L7/((L14+K14)/2)</f>
        <v>6.0492940894950963E-2</v>
      </c>
      <c r="M56" s="282"/>
      <c r="N56" s="287">
        <f>+'Cash Flow Statement'!N7/((N14+L14)/2)</f>
        <v>6.2547808652661588E-2</v>
      </c>
      <c r="O56" s="287">
        <f>+'Cash Flow Statement'!O7/((O14+N14)/2)</f>
        <v>6.251524266319812E-2</v>
      </c>
      <c r="P56" s="286">
        <f>+'Cash Flow Statement'!P7/((P14+O14)/2)</f>
        <v>6.0825288199111989E-2</v>
      </c>
      <c r="Q56" s="286">
        <f>+'Cash Flow Statement'!Q7/((Q14+P14)/2)</f>
        <v>6.0363072942040873E-2</v>
      </c>
      <c r="R56" s="282"/>
      <c r="S56" s="287">
        <f>+'Cash Flow Statement'!S7/((S14+Q14)/2)</f>
        <v>6.052868611709418E-2</v>
      </c>
      <c r="T56" s="287">
        <f>+'Cash Flow Statement'!T7/((T14+S14)/2)</f>
        <v>6.0861044576476821E-2</v>
      </c>
      <c r="U56" s="287">
        <f>+'Cash Flow Statement'!U7/((U14+T14)/2)</f>
        <v>6.0812805967829661E-2</v>
      </c>
      <c r="V56" s="288">
        <f>AVERAGE(Q56,S56,T56,U56)</f>
        <v>6.0641402400860384E-2</v>
      </c>
      <c r="W56" s="282"/>
      <c r="X56" s="289">
        <f>AVERAGE(S56,T56,U56,V56)</f>
        <v>6.0710984765565267E-2</v>
      </c>
      <c r="Y56" s="289">
        <f>AVERAGE(T56,U56,V56,X56)</f>
        <v>6.0756559427683036E-2</v>
      </c>
      <c r="Z56" s="288">
        <f>AVERAGE(U56,V56,X56,Y56)</f>
        <v>6.0730438140484587E-2</v>
      </c>
      <c r="AA56" s="288">
        <f>AVERAGE(V56,X56,Y56,Z56)</f>
        <v>6.0709846183648324E-2</v>
      </c>
      <c r="AB56" s="290"/>
      <c r="AC56" s="289">
        <f>AVERAGE(X56,Y56,Z56,AA56)</f>
        <v>6.0726957129345303E-2</v>
      </c>
      <c r="AD56" s="289">
        <f>AVERAGE(Y56,Z56,AA56,AC56)</f>
        <v>6.0730950220290313E-2</v>
      </c>
      <c r="AE56" s="288">
        <f>AVERAGE(Z56,AA56,AC56,AD56)</f>
        <v>6.0724547918442132E-2</v>
      </c>
      <c r="AF56" s="288">
        <f>AVERAGE(AA56,AC56,AD56,AE56)</f>
        <v>6.072307536293152E-2</v>
      </c>
      <c r="AG56" s="290"/>
      <c r="AH56" s="289">
        <f>AVERAGE(AC56,AD56,AE56,AF56)</f>
        <v>6.072638265775232E-2</v>
      </c>
      <c r="AI56" s="289">
        <f>AVERAGE(AD56,AE56,AF56,AH56)</f>
        <v>6.0726239039854066E-2</v>
      </c>
      <c r="AJ56" s="288">
        <f>AVERAGE(AE56,AF56,AH56,AI56)</f>
        <v>6.0725061244745013E-2</v>
      </c>
      <c r="AK56" s="288">
        <f>AVERAGE(AF56,AH56,AI56,AJ56)</f>
        <v>6.0725189576320726E-2</v>
      </c>
      <c r="AL56" s="290"/>
      <c r="AM56" s="289">
        <f>AVERAGE(AH56,AI56,AJ56,AK56)</f>
        <v>6.0725718129668031E-2</v>
      </c>
      <c r="AN56" s="289">
        <f>AVERAGE(AI56,AJ56,AK56,AM56)</f>
        <v>6.0725551997646961E-2</v>
      </c>
      <c r="AO56" s="288">
        <f>AVERAGE(AJ56,AK56,AM56,AN56)</f>
        <v>6.0725380237095179E-2</v>
      </c>
      <c r="AP56" s="288">
        <f>AVERAGE(AK56,AM56,AN56,AO56)</f>
        <v>6.0725459985182723E-2</v>
      </c>
      <c r="AQ56" s="290"/>
      <c r="AR56" s="289">
        <f>AVERAGE(AM56,AN56,AO56,AP56)</f>
        <v>6.0725527587398222E-2</v>
      </c>
      <c r="AS56" s="289">
        <f>AVERAGE(AN56,AO56,AP56,AR56)</f>
        <v>6.0725479951830773E-2</v>
      </c>
      <c r="AT56" s="288">
        <f>AVERAGE(AO56,AP56,AR56,AS56)</f>
        <v>6.0725461940376722E-2</v>
      </c>
      <c r="AU56" s="288">
        <f>AVERAGE(AP56,AR56,AS56,AT56)</f>
        <v>6.0725482366197112E-2</v>
      </c>
      <c r="AV56" s="290"/>
    </row>
    <row r="57" spans="2:48" outlineLevel="1" x14ac:dyDescent="0.3">
      <c r="B57" s="200"/>
      <c r="C57" s="201"/>
      <c r="D57" s="285"/>
      <c r="E57" s="285"/>
      <c r="F57" s="286"/>
      <c r="G57" s="286"/>
      <c r="H57" s="125"/>
      <c r="I57" s="287"/>
      <c r="J57" s="287"/>
      <c r="K57" s="286"/>
      <c r="L57" s="286"/>
      <c r="M57" s="282"/>
      <c r="N57" s="287"/>
      <c r="O57" s="287"/>
      <c r="P57" s="286"/>
      <c r="Q57" s="286"/>
      <c r="R57" s="282"/>
      <c r="S57" s="287"/>
      <c r="T57" s="287"/>
      <c r="U57" s="287"/>
      <c r="V57" s="288"/>
      <c r="W57" s="282"/>
      <c r="X57" s="289"/>
      <c r="Y57" s="289"/>
      <c r="Z57" s="288"/>
      <c r="AA57" s="288"/>
      <c r="AB57" s="290"/>
      <c r="AC57" s="289"/>
      <c r="AD57" s="289"/>
      <c r="AE57" s="288"/>
      <c r="AF57" s="288"/>
      <c r="AG57" s="290"/>
      <c r="AH57" s="289"/>
      <c r="AI57" s="289"/>
      <c r="AJ57" s="288"/>
      <c r="AK57" s="288"/>
      <c r="AL57" s="290"/>
      <c r="AM57" s="289"/>
      <c r="AN57" s="289"/>
      <c r="AO57" s="288"/>
      <c r="AP57" s="288"/>
      <c r="AQ57" s="290"/>
      <c r="AR57" s="289"/>
      <c r="AS57" s="289"/>
      <c r="AT57" s="288"/>
      <c r="AU57" s="288"/>
      <c r="AV57" s="290"/>
    </row>
    <row r="58" spans="2:48" s="296" customFormat="1" outlineLevel="1" x14ac:dyDescent="0.3">
      <c r="B58" s="291" t="s">
        <v>261</v>
      </c>
      <c r="C58" s="249"/>
      <c r="D58" s="292"/>
      <c r="E58" s="292"/>
      <c r="F58" s="293"/>
      <c r="G58" s="293"/>
      <c r="H58" s="294"/>
      <c r="I58" s="292"/>
      <c r="J58" s="292"/>
      <c r="K58" s="293"/>
      <c r="L58" s="293"/>
      <c r="M58" s="294"/>
      <c r="N58" s="292"/>
      <c r="O58" s="292"/>
      <c r="P58" s="293"/>
      <c r="Q58" s="293"/>
      <c r="R58" s="294"/>
      <c r="S58" s="292"/>
      <c r="T58" s="292"/>
      <c r="U58" s="292"/>
      <c r="V58" s="293"/>
      <c r="W58" s="294"/>
      <c r="X58" s="292"/>
      <c r="Y58" s="292"/>
      <c r="Z58" s="293"/>
      <c r="AA58" s="293"/>
      <c r="AB58" s="295"/>
      <c r="AC58" s="292"/>
      <c r="AD58" s="292"/>
      <c r="AE58" s="293"/>
      <c r="AF58" s="293"/>
      <c r="AG58" s="295"/>
      <c r="AH58" s="292"/>
      <c r="AI58" s="292"/>
      <c r="AJ58" s="293"/>
      <c r="AK58" s="293"/>
      <c r="AL58" s="295"/>
      <c r="AM58" s="292"/>
      <c r="AN58" s="292"/>
      <c r="AO58" s="293"/>
      <c r="AP58" s="293"/>
      <c r="AQ58" s="295"/>
      <c r="AR58" s="292"/>
      <c r="AS58" s="292"/>
      <c r="AT58" s="293"/>
      <c r="AU58" s="293"/>
      <c r="AV58" s="295"/>
    </row>
    <row r="59" spans="2:48" s="302" customFormat="1" outlineLevel="1" x14ac:dyDescent="0.3">
      <c r="B59" s="200" t="s">
        <v>262</v>
      </c>
      <c r="C59" s="297"/>
      <c r="D59" s="298"/>
      <c r="E59" s="298"/>
      <c r="F59" s="146"/>
      <c r="G59" s="146"/>
      <c r="H59" s="122"/>
      <c r="I59" s="299"/>
      <c r="J59" s="299"/>
      <c r="K59" s="146"/>
      <c r="L59" s="146"/>
      <c r="M59" s="26"/>
      <c r="N59" s="299"/>
      <c r="O59" s="299"/>
      <c r="P59" s="146"/>
      <c r="Q59" s="146"/>
      <c r="R59" s="26"/>
      <c r="S59" s="299"/>
      <c r="T59" s="299"/>
      <c r="U59" s="299"/>
      <c r="V59" s="300">
        <v>199</v>
      </c>
      <c r="W59" s="26"/>
      <c r="X59" s="301">
        <v>0</v>
      </c>
      <c r="Y59" s="301">
        <v>1000</v>
      </c>
      <c r="Z59" s="300">
        <v>0</v>
      </c>
      <c r="AA59" s="300">
        <v>0</v>
      </c>
      <c r="AB59" s="6"/>
      <c r="AC59" s="301">
        <v>750</v>
      </c>
      <c r="AD59" s="301">
        <f>500+626.3</f>
        <v>1126.3</v>
      </c>
      <c r="AE59" s="300">
        <v>0</v>
      </c>
      <c r="AF59" s="300">
        <v>0</v>
      </c>
      <c r="AG59" s="6"/>
      <c r="AH59" s="301">
        <v>0</v>
      </c>
      <c r="AI59" s="301">
        <v>0</v>
      </c>
      <c r="AJ59" s="300">
        <v>0</v>
      </c>
      <c r="AK59" s="300">
        <v>1250</v>
      </c>
      <c r="AL59" s="6"/>
      <c r="AM59" s="301">
        <v>0</v>
      </c>
      <c r="AN59" s="301">
        <v>0</v>
      </c>
      <c r="AO59" s="300">
        <v>500</v>
      </c>
      <c r="AP59" s="300">
        <v>0</v>
      </c>
      <c r="AQ59" s="6"/>
      <c r="AR59" s="301">
        <v>0</v>
      </c>
      <c r="AS59" s="301">
        <v>500</v>
      </c>
      <c r="AT59" s="300">
        <v>0</v>
      </c>
      <c r="AU59" s="300">
        <v>0</v>
      </c>
      <c r="AV59" s="6"/>
    </row>
    <row r="60" spans="2:48" s="302" customFormat="1" outlineLevel="1" x14ac:dyDescent="0.3">
      <c r="B60" s="200" t="s">
        <v>263</v>
      </c>
      <c r="C60" s="297"/>
      <c r="D60" s="298"/>
      <c r="E60" s="298"/>
      <c r="F60" s="146"/>
      <c r="G60" s="146"/>
      <c r="H60" s="122"/>
      <c r="I60" s="299"/>
      <c r="J60" s="299"/>
      <c r="K60" s="146"/>
      <c r="L60" s="146"/>
      <c r="M60" s="26"/>
      <c r="N60" s="299"/>
      <c r="O60" s="299"/>
      <c r="P60" s="146"/>
      <c r="Q60" s="146"/>
      <c r="R60" s="26"/>
      <c r="S60" s="299"/>
      <c r="T60" s="299"/>
      <c r="U60" s="299"/>
      <c r="V60" s="300">
        <f>Z59</f>
        <v>0</v>
      </c>
      <c r="W60" s="26"/>
      <c r="X60" s="300">
        <f>AA59</f>
        <v>0</v>
      </c>
      <c r="Y60" s="300">
        <f>AC59</f>
        <v>750</v>
      </c>
      <c r="Z60" s="300">
        <f>AD59</f>
        <v>1126.3</v>
      </c>
      <c r="AA60" s="300">
        <f>AE59</f>
        <v>0</v>
      </c>
      <c r="AB60" s="6"/>
      <c r="AC60" s="300">
        <f>AF59</f>
        <v>0</v>
      </c>
      <c r="AD60" s="300">
        <f>AH59</f>
        <v>0</v>
      </c>
      <c r="AE60" s="300">
        <f>AI59</f>
        <v>0</v>
      </c>
      <c r="AF60" s="300">
        <f>AJ59</f>
        <v>0</v>
      </c>
      <c r="AG60" s="6"/>
      <c r="AH60" s="300">
        <f>AK59</f>
        <v>1250</v>
      </c>
      <c r="AI60" s="300">
        <f>AM59</f>
        <v>0</v>
      </c>
      <c r="AJ60" s="300">
        <f>AN59</f>
        <v>0</v>
      </c>
      <c r="AK60" s="300">
        <f>AO59</f>
        <v>500</v>
      </c>
      <c r="AL60" s="6"/>
      <c r="AM60" s="300">
        <f>AP59</f>
        <v>0</v>
      </c>
      <c r="AN60" s="300">
        <f>AR59</f>
        <v>0</v>
      </c>
      <c r="AO60" s="300">
        <f>AS59</f>
        <v>500</v>
      </c>
      <c r="AP60" s="300">
        <f>AT59</f>
        <v>0</v>
      </c>
      <c r="AQ60" s="6"/>
      <c r="AR60" s="300">
        <f>AU60</f>
        <v>0</v>
      </c>
      <c r="AS60" s="300">
        <f t="shared" ref="AS60:AU60" si="99">AW60</f>
        <v>0</v>
      </c>
      <c r="AT60" s="300">
        <f t="shared" si="99"/>
        <v>0</v>
      </c>
      <c r="AU60" s="300">
        <f t="shared" si="99"/>
        <v>0</v>
      </c>
      <c r="AV60" s="6"/>
    </row>
    <row r="61" spans="2:48" s="302" customFormat="1" outlineLevel="1" x14ac:dyDescent="0.3">
      <c r="B61" s="200" t="s">
        <v>264</v>
      </c>
      <c r="C61" s="297"/>
      <c r="D61" s="298"/>
      <c r="E61" s="298"/>
      <c r="F61" s="146"/>
      <c r="G61" s="146"/>
      <c r="H61" s="122"/>
      <c r="I61" s="299"/>
      <c r="J61" s="299"/>
      <c r="K61" s="146"/>
      <c r="L61" s="146"/>
      <c r="M61" s="26"/>
      <c r="N61" s="299"/>
      <c r="O61" s="299"/>
      <c r="P61" s="146"/>
      <c r="Q61" s="146"/>
      <c r="R61" s="26"/>
      <c r="S61" s="299"/>
      <c r="T61" s="299"/>
      <c r="U61" s="299"/>
      <c r="V61" s="300">
        <v>0</v>
      </c>
      <c r="W61" s="26"/>
      <c r="X61" s="301">
        <v>0</v>
      </c>
      <c r="Y61" s="301">
        <v>1000</v>
      </c>
      <c r="Z61" s="300">
        <v>0</v>
      </c>
      <c r="AA61" s="300">
        <v>0</v>
      </c>
      <c r="AB61" s="6"/>
      <c r="AC61" s="301">
        <v>750</v>
      </c>
      <c r="AD61" s="301">
        <v>1126</v>
      </c>
      <c r="AE61" s="300">
        <v>0</v>
      </c>
      <c r="AF61" s="300">
        <f>0.5*(SUM('Income Statement &amp; Segments'!AC154:AF154))</f>
        <v>100</v>
      </c>
      <c r="AG61" s="6"/>
      <c r="AH61" s="301"/>
      <c r="AI61" s="301"/>
      <c r="AJ61" s="300">
        <f>0.5*(SUM('Income Statement &amp; Segments'!AH154:AK154))</f>
        <v>5290.5983828510816</v>
      </c>
      <c r="AK61" s="300">
        <v>1250</v>
      </c>
      <c r="AL61" s="6"/>
      <c r="AM61" s="301">
        <v>0</v>
      </c>
      <c r="AN61" s="301">
        <v>0</v>
      </c>
      <c r="AO61" s="300">
        <v>500</v>
      </c>
      <c r="AP61" s="300">
        <v>0</v>
      </c>
      <c r="AQ61" s="6"/>
      <c r="AR61" s="301">
        <v>0</v>
      </c>
      <c r="AS61" s="301">
        <v>500</v>
      </c>
      <c r="AT61" s="300">
        <v>0</v>
      </c>
      <c r="AU61" s="300">
        <v>0</v>
      </c>
      <c r="AV61" s="6"/>
    </row>
    <row r="62" spans="2:48" s="23" customFormat="1" outlineLevel="1" x14ac:dyDescent="0.3">
      <c r="B62" s="200" t="s">
        <v>265</v>
      </c>
      <c r="C62" s="201"/>
      <c r="D62" s="179">
        <f>+(D28+D31)/D41</f>
        <v>-3.1717034875642636</v>
      </c>
      <c r="E62" s="179">
        <f>+(E28+E31)/E41</f>
        <v>-1.8304138862408643</v>
      </c>
      <c r="F62" s="303">
        <f>+(F28+F31)/F41</f>
        <v>-2.5837230840472332</v>
      </c>
      <c r="G62" s="303">
        <f>+(G28+G31)/G41</f>
        <v>-1.7921681913015568</v>
      </c>
      <c r="H62" s="128"/>
      <c r="I62" s="303">
        <f>+(I28+I31)/I41</f>
        <v>-1.7235726649997785</v>
      </c>
      <c r="J62" s="303">
        <f>+(J28+J31)/J41</f>
        <v>-1.8605318005017988</v>
      </c>
      <c r="K62" s="303">
        <f>+(K28+K31)/K41</f>
        <v>-1.9516598448569742</v>
      </c>
      <c r="L62" s="179">
        <f>+(L28+L31)/L41</f>
        <v>-2.0960971356771032</v>
      </c>
      <c r="M62" s="28"/>
      <c r="N62" s="179">
        <f>+(N28+N31)/N41</f>
        <v>-2.0136766194331983</v>
      </c>
      <c r="O62" s="179">
        <f>+(O28+O31)/O41</f>
        <v>-1.9152752899337104</v>
      </c>
      <c r="P62" s="179">
        <f>+(P28+P31)/P41</f>
        <v>-2.1515240716482933</v>
      </c>
      <c r="Q62" s="179">
        <f>+(Q28+Q31)/Q41</f>
        <v>-2.7501740521215541</v>
      </c>
      <c r="R62" s="28"/>
      <c r="S62" s="179">
        <f t="shared" ref="S62:AA62" si="100">+(S28+S31)/S41</f>
        <v>-1.7497130279398361</v>
      </c>
      <c r="T62" s="179">
        <f t="shared" si="100"/>
        <v>-1.8277176642469066</v>
      </c>
      <c r="U62" s="179">
        <f t="shared" si="100"/>
        <v>-1.7473235630391852</v>
      </c>
      <c r="V62" s="179">
        <f t="shared" si="100"/>
        <v>-1.7742139209382464</v>
      </c>
      <c r="W62" s="28">
        <f t="shared" si="100"/>
        <v>-1.7742139209382464</v>
      </c>
      <c r="X62" s="179">
        <f t="shared" si="100"/>
        <v>-1.8367932095831883</v>
      </c>
      <c r="Y62" s="179">
        <f t="shared" si="100"/>
        <v>-1.8964761972124962</v>
      </c>
      <c r="Z62" s="179">
        <f t="shared" si="100"/>
        <v>-2.0223795405290299</v>
      </c>
      <c r="AA62" s="179">
        <f t="shared" si="100"/>
        <v>-2.179230948690738</v>
      </c>
      <c r="AB62" s="28"/>
      <c r="AC62" s="179">
        <f>+(AC28+AC31)/AC41</f>
        <v>-2.3862999073578428</v>
      </c>
      <c r="AD62" s="179">
        <f>+(AD28+AD31)/AD41</f>
        <v>-2.5459234117428156</v>
      </c>
      <c r="AE62" s="179">
        <f>+(AE28+AE31)/AE41</f>
        <v>-2.7960250496436827</v>
      </c>
      <c r="AF62" s="179">
        <f>+(AF28+AF31)/AF41</f>
        <v>-3.0939610523505015</v>
      </c>
      <c r="AG62" s="28"/>
      <c r="AH62" s="179">
        <f>+(AH28+AH31)/AH41</f>
        <v>-3.5850136046613872</v>
      </c>
      <c r="AI62" s="179">
        <f>+(AI28+AI31)/AI41</f>
        <v>-4.0090181974628498</v>
      </c>
      <c r="AJ62" s="179">
        <f>+(AJ28+AJ31)/AJ41</f>
        <v>-2.5149749933620966</v>
      </c>
      <c r="AK62" s="179">
        <f>+(AK28+AK31)/AK41</f>
        <v>-1.6212297121081063</v>
      </c>
      <c r="AL62" s="28"/>
      <c r="AM62" s="179">
        <f>+(AM28+AM31)/AM41</f>
        <v>-1.7018014851359355</v>
      </c>
      <c r="AN62" s="179">
        <f>+(AN28+AN31)/AN41</f>
        <v>-1.751868987564791</v>
      </c>
      <c r="AO62" s="179">
        <f>+(AO28+AO31)/AO41</f>
        <v>-1.8636306505597473</v>
      </c>
      <c r="AP62" s="179">
        <f>+(AP28+AP31)/AP41</f>
        <v>-1.976112765427495</v>
      </c>
      <c r="AQ62" s="28"/>
      <c r="AR62" s="179">
        <f>+(AR28+AR31)/AR41</f>
        <v>-2.1254002086966941</v>
      </c>
      <c r="AS62" s="179">
        <f>+(AS28+AS31)/AS41</f>
        <v>-2.2316426865646166</v>
      </c>
      <c r="AT62" s="179">
        <f>+(AT28+AT31)/AT41</f>
        <v>-2.448143658928958</v>
      </c>
      <c r="AU62" s="179">
        <f>+(AU28+AU31)/AU41</f>
        <v>-2.6814356187108959</v>
      </c>
      <c r="AV62" s="28"/>
    </row>
    <row r="63" spans="2:48" s="23" customFormat="1" outlineLevel="1" x14ac:dyDescent="0.3">
      <c r="B63" s="200" t="s">
        <v>266</v>
      </c>
      <c r="C63" s="201"/>
      <c r="D63" s="179">
        <f>+D28/(D28+D31)</f>
        <v>0</v>
      </c>
      <c r="E63" s="179">
        <f>+E28/(E28+E31)</f>
        <v>8.1375793413985785E-3</v>
      </c>
      <c r="F63" s="303">
        <f>+F28/(F28+F31)</f>
        <v>0</v>
      </c>
      <c r="G63" s="303">
        <f>+G28/(G28+G31)</f>
        <v>0</v>
      </c>
      <c r="H63" s="128"/>
      <c r="I63" s="303">
        <f>+I28/(I28+I31)</f>
        <v>8.5546532987690757E-2</v>
      </c>
      <c r="J63" s="303">
        <f>+J28/(J28+J31)</f>
        <v>0.16813887778982817</v>
      </c>
      <c r="K63" s="303">
        <f>+K28/(K28+K31)</f>
        <v>0.12987992894360045</v>
      </c>
      <c r="L63" s="179">
        <f>+L28/(L28+L31)</f>
        <v>0.10329514383758555</v>
      </c>
      <c r="M63" s="28"/>
      <c r="N63" s="179">
        <f>+N28/(N28+N31)</f>
        <v>7.8071889470410452E-2</v>
      </c>
      <c r="O63" s="179">
        <f>+O28/(O28+O31)</f>
        <v>1.2492661414742708E-3</v>
      </c>
      <c r="P63" s="179">
        <f>+P28/(P28+P31)</f>
        <v>6.8333093904132544E-2</v>
      </c>
      <c r="Q63" s="179">
        <f>+Q28/(Q28+Q31)</f>
        <v>6.8343847069609609E-2</v>
      </c>
      <c r="R63" s="28"/>
      <c r="S63" s="179">
        <f t="shared" ref="S63:AA63" si="101">+S28/(S28+S31)</f>
        <v>8.1112704252786494E-2</v>
      </c>
      <c r="T63" s="179">
        <f t="shared" si="101"/>
        <v>0.12481109098857178</v>
      </c>
      <c r="U63" s="179">
        <f t="shared" si="101"/>
        <v>7.9253663276029576E-2</v>
      </c>
      <c r="V63" s="179">
        <f t="shared" si="101"/>
        <v>6.6981896603687655E-2</v>
      </c>
      <c r="W63" s="28">
        <f t="shared" si="101"/>
        <v>6.6981896603687655E-2</v>
      </c>
      <c r="X63" s="179">
        <f t="shared" si="101"/>
        <v>6.6981896603687655E-2</v>
      </c>
      <c r="Y63" s="179">
        <f t="shared" si="101"/>
        <v>5.0238096832742829E-2</v>
      </c>
      <c r="Z63" s="179">
        <f t="shared" si="101"/>
        <v>0.12567226356080344</v>
      </c>
      <c r="AA63" s="179">
        <f t="shared" si="101"/>
        <v>0.12567226356080344</v>
      </c>
      <c r="AB63" s="28"/>
      <c r="AC63" s="179">
        <f>+AC28/(AC28+AC31)</f>
        <v>7.5440864247968975E-2</v>
      </c>
      <c r="AD63" s="179">
        <f>+AD28/(AD28+AD31)</f>
        <v>6.6976544813945215E-6</v>
      </c>
      <c r="AE63" s="179">
        <f>+AE28/(AE28+AE31)</f>
        <v>6.6976544813945215E-6</v>
      </c>
      <c r="AF63" s="179">
        <f>+AF28/(AF28+AF31)</f>
        <v>6.6530943541780797E-6</v>
      </c>
      <c r="AG63" s="28"/>
      <c r="AH63" s="179">
        <f>+AH28/(AH28+AH31)</f>
        <v>8.3170332521655815E-2</v>
      </c>
      <c r="AI63" s="179">
        <f>+AI28/(AI28+AI31)</f>
        <v>8.3170332521655815E-2</v>
      </c>
      <c r="AJ63" s="179">
        <f>+AJ28/(AJ28+AJ31)</f>
        <v>6.1517041290977743E-2</v>
      </c>
      <c r="AK63" s="179">
        <f>+AK28/(AK28+AK31)</f>
        <v>2.460976909816652E-2</v>
      </c>
      <c r="AL63" s="28"/>
      <c r="AM63" s="179">
        <f>+AM28/(AM28+AM31)</f>
        <v>2.460976909816652E-2</v>
      </c>
      <c r="AN63" s="179">
        <f>+AN28/(AN28+AN31)</f>
        <v>2.460976909816652E-2</v>
      </c>
      <c r="AO63" s="179">
        <f>+AO28/(AO28+AO31)</f>
        <v>2.460976909816652E-2</v>
      </c>
      <c r="AP63" s="179">
        <f>+AP28/(AP28+AP31)</f>
        <v>2.460976909816652E-2</v>
      </c>
      <c r="AQ63" s="28"/>
      <c r="AR63" s="179">
        <f>+AR28/(AR28+AR31)</f>
        <v>2.460976909816652E-2</v>
      </c>
      <c r="AS63" s="179">
        <f>+AS28/(AS28+AS31)</f>
        <v>4.9209696257036872E-6</v>
      </c>
      <c r="AT63" s="179">
        <f>+AT28/(AT28+AT31)</f>
        <v>4.9209696257036872E-6</v>
      </c>
      <c r="AU63" s="179">
        <f>+AU28/(AU28+AU31)</f>
        <v>4.9209696257036872E-6</v>
      </c>
      <c r="AV63" s="28"/>
    </row>
    <row r="64" spans="2:48" outlineLevel="1" x14ac:dyDescent="0.3">
      <c r="B64" s="200" t="s">
        <v>329</v>
      </c>
      <c r="C64" s="201"/>
      <c r="D64" s="304"/>
      <c r="E64" s="304"/>
      <c r="F64" s="304"/>
      <c r="G64" s="304"/>
      <c r="H64" s="306"/>
      <c r="I64" s="305"/>
      <c r="J64" s="305"/>
      <c r="K64" s="305"/>
      <c r="L64" s="305"/>
      <c r="M64" s="306">
        <f>M67/(M65-M66)</f>
        <v>14.55407378391847</v>
      </c>
      <c r="N64" s="305"/>
      <c r="O64" s="305"/>
      <c r="P64" s="305"/>
      <c r="Q64" s="305"/>
      <c r="R64" s="306">
        <f>R67/(R65-R66)</f>
        <v>3.5268936560411204</v>
      </c>
      <c r="S64" s="305"/>
      <c r="T64" s="305"/>
      <c r="U64" s="305"/>
      <c r="V64" s="305"/>
      <c r="W64" s="306">
        <f>W67/(W65-W66)</f>
        <v>4.1761593231356127</v>
      </c>
      <c r="X64" s="307"/>
      <c r="Y64" s="307"/>
      <c r="Z64" s="307"/>
      <c r="AA64" s="307"/>
      <c r="AB64" s="306">
        <f>AB67/(AB65-AB66)</f>
        <v>3.4824851132898802</v>
      </c>
      <c r="AC64" s="307"/>
      <c r="AD64" s="307"/>
      <c r="AE64" s="307"/>
      <c r="AF64" s="307"/>
      <c r="AG64" s="405">
        <f>AG67/(AG65-AG66)</f>
        <v>2.9151652662738683</v>
      </c>
      <c r="AH64" s="307"/>
      <c r="AI64" s="307"/>
      <c r="AJ64" s="307"/>
      <c r="AK64" s="307"/>
      <c r="AL64" s="405">
        <f>AL67/(AL65-AL66)</f>
        <v>3.2285886421452323</v>
      </c>
      <c r="AM64" s="307"/>
      <c r="AN64" s="307"/>
      <c r="AO64" s="307"/>
      <c r="AP64" s="307"/>
      <c r="AQ64" s="306">
        <f>AQ67/(AQ65-AQ66)</f>
        <v>2.8763851934141531</v>
      </c>
      <c r="AR64" s="307"/>
      <c r="AS64" s="307"/>
      <c r="AT64" s="307"/>
      <c r="AU64" s="307"/>
      <c r="AV64" s="306">
        <f>AV67/(AV65-AV66)</f>
        <v>2.6846795651658271</v>
      </c>
    </row>
    <row r="65" spans="2:48" outlineLevel="1" x14ac:dyDescent="0.3">
      <c r="B65" s="180" t="s">
        <v>326</v>
      </c>
      <c r="C65" s="44"/>
      <c r="D65" s="139"/>
      <c r="E65" s="139"/>
      <c r="F65" s="309"/>
      <c r="G65" s="309"/>
      <c r="H65" s="17"/>
      <c r="I65" s="139"/>
      <c r="J65" s="139"/>
      <c r="K65" s="309"/>
      <c r="L65" s="309"/>
      <c r="M65" s="17">
        <f>'Income Statement &amp; Segments'!M19+'Income Statement &amp; Segments'!M12</f>
        <v>3564.3800000000042</v>
      </c>
      <c r="N65" s="139"/>
      <c r="O65" s="139"/>
      <c r="P65" s="309"/>
      <c r="Q65" s="309"/>
      <c r="R65" s="17">
        <f>'Income Statement &amp; Segments'!R19+'Income Statement &amp; Segments'!R12</f>
        <v>6703.7999999999975</v>
      </c>
      <c r="S65" s="139"/>
      <c r="T65" s="139"/>
      <c r="U65" s="309"/>
      <c r="V65" s="309"/>
      <c r="W65" s="17">
        <f>'Income Statement &amp; Segments'!W19+'Income Statement &amp; Segments'!W12</f>
        <v>6262.9556840670375</v>
      </c>
      <c r="X65" s="139"/>
      <c r="Y65" s="305"/>
      <c r="Z65" s="305"/>
      <c r="AA65" s="310"/>
      <c r="AB65" s="17">
        <f>'Income Statement &amp; Segments'!AB19+'Income Statement &amp; Segments'!AB12</f>
        <v>7109.496048472336</v>
      </c>
      <c r="AC65" s="139"/>
      <c r="AD65" s="139"/>
      <c r="AE65" s="309"/>
      <c r="AF65" s="309"/>
      <c r="AG65" s="17">
        <f>'Income Statement &amp; Segments'!AG19+'Income Statement &amp; Segments'!AG12</f>
        <v>8119.1754180385251</v>
      </c>
      <c r="AH65" s="139"/>
      <c r="AI65" s="139"/>
      <c r="AJ65" s="309"/>
      <c r="AK65" s="309"/>
      <c r="AL65" s="17">
        <f>'Income Statement &amp; Segments'!AL19+'Income Statement &amp; Segments'!AL12</f>
        <v>9405.4742802975798</v>
      </c>
      <c r="AM65" s="139"/>
      <c r="AN65" s="139"/>
      <c r="AO65" s="309"/>
      <c r="AP65" s="309"/>
      <c r="AQ65" s="17">
        <f>'Income Statement &amp; Segments'!AQ19+'Income Statement &amp; Segments'!AQ12</f>
        <v>10331.736946610616</v>
      </c>
      <c r="AR65" s="139"/>
      <c r="AS65" s="139"/>
      <c r="AT65" s="309"/>
      <c r="AU65" s="309"/>
      <c r="AV65" s="17">
        <f>'Income Statement &amp; Segments'!AV19+'Income Statement &amp; Segments'!AV12</f>
        <v>10999.562683415485</v>
      </c>
    </row>
    <row r="66" spans="2:48" outlineLevel="1" x14ac:dyDescent="0.3">
      <c r="B66" s="180" t="s">
        <v>328</v>
      </c>
      <c r="C66" s="44"/>
      <c r="D66" s="139"/>
      <c r="E66" s="139"/>
      <c r="F66" s="309"/>
      <c r="G66" s="309"/>
      <c r="H66" s="387"/>
      <c r="I66" s="139"/>
      <c r="J66" s="139"/>
      <c r="K66" s="309"/>
      <c r="L66" s="309"/>
      <c r="M66" s="387">
        <v>2441.1</v>
      </c>
      <c r="N66" s="139"/>
      <c r="O66" s="139"/>
      <c r="P66" s="309"/>
      <c r="Q66" s="309"/>
      <c r="R66" s="387">
        <v>2559.6999999999998</v>
      </c>
      <c r="S66" s="139"/>
      <c r="T66" s="139"/>
      <c r="U66" s="309"/>
      <c r="V66" s="309"/>
      <c r="W66" s="388">
        <f>R66*1.05</f>
        <v>2687.6849999999999</v>
      </c>
      <c r="X66" s="139"/>
      <c r="Y66" s="179"/>
      <c r="Z66" s="179"/>
      <c r="AA66" s="310"/>
      <c r="AB66" s="388">
        <f>W66*1.05</f>
        <v>2822.06925</v>
      </c>
      <c r="AC66" s="139"/>
      <c r="AD66" s="139"/>
      <c r="AE66" s="309"/>
      <c r="AF66" s="309"/>
      <c r="AG66" s="388">
        <f>AB66*1.05</f>
        <v>2963.1727125000002</v>
      </c>
      <c r="AH66" s="139"/>
      <c r="AI66" s="139"/>
      <c r="AJ66" s="309"/>
      <c r="AK66" s="309"/>
      <c r="AL66" s="388">
        <f>AG66*1.05</f>
        <v>3111.3313481250002</v>
      </c>
      <c r="AM66" s="139"/>
      <c r="AN66" s="139"/>
      <c r="AO66" s="309"/>
      <c r="AP66" s="309"/>
      <c r="AQ66" s="388">
        <f>AL66*1.05</f>
        <v>3266.8979155312504</v>
      </c>
      <c r="AR66" s="139"/>
      <c r="AS66" s="139"/>
      <c r="AT66" s="309"/>
      <c r="AU66" s="309"/>
      <c r="AV66" s="388">
        <f>AQ66*1.05</f>
        <v>3430.2428113078131</v>
      </c>
    </row>
    <row r="67" spans="2:48" outlineLevel="1" x14ac:dyDescent="0.3">
      <c r="B67" s="386" t="s">
        <v>327</v>
      </c>
      <c r="C67" s="312"/>
      <c r="D67" s="313"/>
      <c r="E67" s="313"/>
      <c r="F67" s="314"/>
      <c r="G67" s="314"/>
      <c r="H67" s="316"/>
      <c r="I67" s="313"/>
      <c r="J67" s="313"/>
      <c r="K67" s="314"/>
      <c r="L67" s="314"/>
      <c r="M67" s="316">
        <f>M28+M31</f>
        <v>16348.300000000001</v>
      </c>
      <c r="N67" s="313"/>
      <c r="O67" s="313"/>
      <c r="P67" s="314"/>
      <c r="Q67" s="314"/>
      <c r="R67" s="316">
        <f>R28+R31</f>
        <v>14615.8</v>
      </c>
      <c r="S67" s="313"/>
      <c r="T67" s="313"/>
      <c r="U67" s="314"/>
      <c r="V67" s="314"/>
      <c r="W67" s="316">
        <f>W28+W31</f>
        <v>14930.9</v>
      </c>
      <c r="X67" s="313"/>
      <c r="Y67" s="313"/>
      <c r="Z67" s="314"/>
      <c r="AA67" s="315"/>
      <c r="AB67" s="316">
        <f>AB28+AB31</f>
        <v>14930.9</v>
      </c>
      <c r="AC67" s="313"/>
      <c r="AD67" s="313"/>
      <c r="AE67" s="314"/>
      <c r="AF67" s="314"/>
      <c r="AG67" s="316">
        <f>AG28+AG31</f>
        <v>15030.6</v>
      </c>
      <c r="AH67" s="313"/>
      <c r="AI67" s="313"/>
      <c r="AJ67" s="314"/>
      <c r="AK67" s="314"/>
      <c r="AL67" s="316">
        <f>AL28+AL31</f>
        <v>20321.198382851078</v>
      </c>
      <c r="AM67" s="313"/>
      <c r="AN67" s="313"/>
      <c r="AO67" s="314"/>
      <c r="AP67" s="314"/>
      <c r="AQ67" s="316">
        <f>AQ28+AQ31</f>
        <v>20321.198382851078</v>
      </c>
      <c r="AR67" s="313"/>
      <c r="AS67" s="313"/>
      <c r="AT67" s="314"/>
      <c r="AU67" s="314"/>
      <c r="AV67" s="316">
        <f>AV28+AV31</f>
        <v>20321.198382851078</v>
      </c>
    </row>
  </sheetData>
  <dataConsolidate/>
  <mergeCells count="27">
    <mergeCell ref="B51:C51"/>
    <mergeCell ref="B52:C52"/>
    <mergeCell ref="B53:C53"/>
    <mergeCell ref="B44:C44"/>
    <mergeCell ref="B45:C45"/>
    <mergeCell ref="B47:C47"/>
    <mergeCell ref="B48:C48"/>
    <mergeCell ref="B49:C49"/>
    <mergeCell ref="B50:C50"/>
    <mergeCell ref="B42:C42"/>
    <mergeCell ref="B20:C20"/>
    <mergeCell ref="B21:C21"/>
    <mergeCell ref="B22:C22"/>
    <mergeCell ref="B23:C23"/>
    <mergeCell ref="B34:C34"/>
    <mergeCell ref="B35:C35"/>
    <mergeCell ref="B36:C36"/>
    <mergeCell ref="B37:C37"/>
    <mergeCell ref="B38:C38"/>
    <mergeCell ref="B39:C39"/>
    <mergeCell ref="B41:C41"/>
    <mergeCell ref="B19:C19"/>
    <mergeCell ref="B3:C3"/>
    <mergeCell ref="B5:C5"/>
    <mergeCell ref="B6:C6"/>
    <mergeCell ref="B8:C8"/>
    <mergeCell ref="B10:C1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173C-52DC-43C0-9DE7-86CD8C82289A}">
  <sheetPr>
    <pageSetUpPr fitToPage="1"/>
  </sheetPr>
  <dimension ref="B1:AV65"/>
  <sheetViews>
    <sheetView showGridLines="0" tabSelected="1" zoomScaleNormal="100" workbookViewId="0">
      <pane xSplit="3" ySplit="4" topLeftCell="AH33" activePane="bottomRight" state="frozen"/>
      <selection activeCell="E29" sqref="E29"/>
      <selection pane="topRight" activeCell="E29" sqref="E29"/>
      <selection pane="bottomLeft" activeCell="E29" sqref="E29"/>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2:48" ht="16.2" customHeight="1" x14ac:dyDescent="0.3">
      <c r="B1" s="237" t="s">
        <v>210</v>
      </c>
      <c r="D1" s="45"/>
      <c r="E1" s="149"/>
      <c r="F1" s="149"/>
      <c r="G1" s="149"/>
      <c r="H1" s="149"/>
      <c r="I1" s="216"/>
      <c r="J1" s="380"/>
      <c r="K1" s="380"/>
      <c r="L1" s="380"/>
      <c r="M1" s="380"/>
      <c r="N1" s="380"/>
      <c r="O1" s="380"/>
      <c r="P1" s="380"/>
      <c r="Q1" s="380"/>
      <c r="R1" s="380"/>
      <c r="S1" s="380"/>
      <c r="T1" s="380"/>
      <c r="U1" s="380"/>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6.9" customHeight="1" x14ac:dyDescent="0.3">
      <c r="B2" s="99"/>
      <c r="D2" s="45"/>
      <c r="E2" s="149"/>
      <c r="F2" s="149"/>
      <c r="G2" s="149"/>
      <c r="H2" s="149"/>
      <c r="I2" s="216"/>
      <c r="J2" s="381"/>
      <c r="K2" s="381"/>
      <c r="L2" s="381"/>
      <c r="M2" s="381"/>
      <c r="N2" s="381"/>
      <c r="O2" s="381"/>
      <c r="P2" s="381"/>
      <c r="Q2" s="381"/>
      <c r="R2" s="381"/>
      <c r="S2" s="381"/>
      <c r="T2" s="381"/>
      <c r="U2" s="381"/>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3">
      <c r="B3" s="432" t="s">
        <v>267</v>
      </c>
      <c r="C3" s="433"/>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2:48" ht="16.2" x14ac:dyDescent="0.4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2:48" outlineLevel="1" x14ac:dyDescent="0.3">
      <c r="B5" s="450" t="s">
        <v>268</v>
      </c>
      <c r="C5" s="451"/>
      <c r="D5" s="4"/>
      <c r="E5" s="4"/>
      <c r="F5" s="4"/>
      <c r="G5" s="4"/>
      <c r="H5" s="317"/>
      <c r="I5" s="4"/>
      <c r="J5" s="4"/>
      <c r="K5" s="318"/>
      <c r="L5" s="4"/>
      <c r="M5" s="317"/>
      <c r="N5" s="4"/>
      <c r="O5" s="4"/>
      <c r="P5" s="4"/>
      <c r="Q5" s="4"/>
      <c r="R5" s="317"/>
      <c r="S5" s="4"/>
      <c r="T5" s="4"/>
      <c r="U5" s="4"/>
      <c r="V5" s="4"/>
      <c r="W5" s="317"/>
      <c r="X5" s="4"/>
      <c r="Y5" s="4"/>
      <c r="Z5" s="4"/>
      <c r="AA5" s="4"/>
      <c r="AB5" s="317"/>
      <c r="AC5" s="4"/>
      <c r="AD5" s="4"/>
      <c r="AE5" s="4"/>
      <c r="AF5" s="4"/>
      <c r="AG5" s="317"/>
      <c r="AH5" s="4"/>
      <c r="AI5" s="4"/>
      <c r="AJ5" s="4"/>
      <c r="AK5" s="4"/>
      <c r="AL5" s="317"/>
      <c r="AM5" s="4"/>
      <c r="AN5" s="4"/>
      <c r="AO5" s="4"/>
      <c r="AP5" s="4"/>
      <c r="AQ5" s="317"/>
      <c r="AR5" s="4"/>
      <c r="AS5" s="4"/>
      <c r="AT5" s="4"/>
      <c r="AU5" s="4"/>
      <c r="AV5" s="317"/>
    </row>
    <row r="6" spans="2:48" outlineLevel="1" x14ac:dyDescent="0.3">
      <c r="B6" s="308" t="s">
        <v>269</v>
      </c>
      <c r="C6" s="44"/>
      <c r="D6" s="16">
        <v>760.40000000000043</v>
      </c>
      <c r="E6" s="101">
        <v>658.59999999999968</v>
      </c>
      <c r="F6" s="16">
        <v>1373.200000000001</v>
      </c>
      <c r="G6" s="16">
        <v>802.400000000001</v>
      </c>
      <c r="H6" s="17">
        <v>3594.6000000000054</v>
      </c>
      <c r="I6" s="16">
        <v>885.29999999999882</v>
      </c>
      <c r="J6" s="16">
        <v>324.79999999999905</v>
      </c>
      <c r="K6" s="16">
        <v>-678.09999999999923</v>
      </c>
      <c r="L6" s="16">
        <f>924.7-K6-J6-I6</f>
        <v>392.70000000000141</v>
      </c>
      <c r="M6" s="17">
        <v>924.70000000000437</v>
      </c>
      <c r="N6" s="16">
        <v>622.20000000000016</v>
      </c>
      <c r="O6" s="16">
        <v>659.4</v>
      </c>
      <c r="P6" s="16">
        <v>1154.1999999999989</v>
      </c>
      <c r="Q6" s="16">
        <v>1764.6</v>
      </c>
      <c r="R6" s="17">
        <v>4200.3999999999978</v>
      </c>
      <c r="S6" s="16">
        <v>816.10000000000014</v>
      </c>
      <c r="T6" s="16">
        <v>675.00000000000011</v>
      </c>
      <c r="U6" s="16">
        <v>913.69999999999959</v>
      </c>
      <c r="V6" s="16">
        <f>'Income Statement &amp; Segments'!V25</f>
        <v>766.45200440213353</v>
      </c>
      <c r="W6" s="17">
        <f t="shared" ref="W6:W13" si="0">SUM(S6:V6)</f>
        <v>3171.2520044021339</v>
      </c>
      <c r="X6" s="16">
        <f>'Income Statement &amp; Segments'!X25</f>
        <v>806.52584225126407</v>
      </c>
      <c r="Y6" s="16">
        <f>'Income Statement &amp; Segments'!Y25</f>
        <v>785.8876141579351</v>
      </c>
      <c r="Z6" s="16">
        <f>'Income Statement &amp; Segments'!Z25</f>
        <v>1013.6072362595346</v>
      </c>
      <c r="AA6" s="16">
        <f>'Income Statement &amp; Segments'!AA25</f>
        <v>1082.1271452832177</v>
      </c>
      <c r="AB6" s="17">
        <f t="shared" ref="AB6" si="1">SUM(X6:AA6)</f>
        <v>3688.1478379519513</v>
      </c>
      <c r="AC6" s="16">
        <f>'Income Statement &amp; Segments'!AC25</f>
        <v>1109.8061631354949</v>
      </c>
      <c r="AD6" s="16">
        <f>'Income Statement &amp; Segments'!AD25</f>
        <v>914.13175288605191</v>
      </c>
      <c r="AE6" s="16">
        <f>'Income Statement &amp; Segments'!AE25</f>
        <v>1139.971189996266</v>
      </c>
      <c r="AF6" s="16">
        <f>'Income Statement &amp; Segments'!AF25</f>
        <v>1125.9513031539486</v>
      </c>
      <c r="AG6" s="17">
        <f t="shared" ref="AG6" si="2">SUM(AC6:AF6)</f>
        <v>4289.8604091717607</v>
      </c>
      <c r="AH6" s="16">
        <f>'Income Statement &amp; Segments'!AH25</f>
        <v>1306.9473475341936</v>
      </c>
      <c r="AI6" s="16">
        <f>'Income Statement &amp; Segments'!AI25</f>
        <v>1091.0542437185381</v>
      </c>
      <c r="AJ6" s="16">
        <f>'Income Statement &amp; Segments'!AJ25</f>
        <v>1400.1543057318988</v>
      </c>
      <c r="AK6" s="16">
        <f>'Income Statement &amp; Segments'!AK25</f>
        <v>1306.4431565599975</v>
      </c>
      <c r="AL6" s="17">
        <f t="shared" ref="AL6" si="3">SUM(AH6:AK6)</f>
        <v>5104.5990535446272</v>
      </c>
      <c r="AM6" s="16">
        <f>'Income Statement &amp; Segments'!AM25</f>
        <v>1411.5276426853732</v>
      </c>
      <c r="AN6" s="16">
        <f>'Income Statement &amp; Segments'!AN25</f>
        <v>1165.8410324944425</v>
      </c>
      <c r="AO6" s="16">
        <f>'Income Statement &amp; Segments'!AO25</f>
        <v>1487.670510723279</v>
      </c>
      <c r="AP6" s="16">
        <f>'Income Statement &amp; Segments'!AP25</f>
        <v>1416.6710162256986</v>
      </c>
      <c r="AQ6" s="17">
        <f t="shared" ref="AQ6" si="4">SUM(AM6:AP6)</f>
        <v>5481.7102021287938</v>
      </c>
      <c r="AR6" s="16">
        <f>'Income Statement &amp; Segments'!AR25</f>
        <v>1517.1922125879778</v>
      </c>
      <c r="AS6" s="16">
        <f>'Income Statement &amp; Segments'!AS25</f>
        <v>1256.1998078812735</v>
      </c>
      <c r="AT6" s="16">
        <f>'Income Statement &amp; Segments'!AT25</f>
        <v>1597.6355770318992</v>
      </c>
      <c r="AU6" s="16">
        <f>'Income Statement &amp; Segments'!AU25</f>
        <v>1524.8997218286436</v>
      </c>
      <c r="AV6" s="17">
        <f t="shared" ref="AV6" si="5">SUM(AR6:AU6)</f>
        <v>5895.927319329794</v>
      </c>
    </row>
    <row r="7" spans="2:48" outlineLevel="1" x14ac:dyDescent="0.3">
      <c r="B7" s="308" t="s">
        <v>270</v>
      </c>
      <c r="C7" s="44"/>
      <c r="D7" s="16">
        <v>350.8</v>
      </c>
      <c r="E7" s="16">
        <f>723.5-D7</f>
        <v>372.7</v>
      </c>
      <c r="F7" s="16">
        <f>1083.6-E7-D7</f>
        <v>360.09999999999985</v>
      </c>
      <c r="G7" s="16">
        <f>1449.3-F7-E7-D7</f>
        <v>365.7</v>
      </c>
      <c r="H7" s="17">
        <f t="shared" ref="H7:H13" si="6">SUM(D7:G7)</f>
        <v>1449.3</v>
      </c>
      <c r="I7" s="16">
        <v>369.2</v>
      </c>
      <c r="J7" s="16">
        <f>746.9-I7</f>
        <v>377.7</v>
      </c>
      <c r="K7" s="16">
        <f>1124-J7-I7</f>
        <v>377.09999999999997</v>
      </c>
      <c r="L7" s="16">
        <f>1503.2-K7-J7-I7</f>
        <v>379.2000000000001</v>
      </c>
      <c r="M7" s="17">
        <f t="shared" ref="M7:M13" si="7">SUM(I7:L7)</f>
        <v>1503.2</v>
      </c>
      <c r="N7" s="16">
        <v>388.4</v>
      </c>
      <c r="O7" s="16">
        <f>772.9-N7</f>
        <v>384.5</v>
      </c>
      <c r="P7" s="16">
        <f>1146.2-O7-N7</f>
        <v>373.30000000000007</v>
      </c>
      <c r="Q7" s="16">
        <f>1524.1-P7-O7-N7</f>
        <v>377.89999999999975</v>
      </c>
      <c r="R7" s="17">
        <f t="shared" ref="R7:R13" si="8">SUM(N7:Q7)</f>
        <v>1524.1</v>
      </c>
      <c r="S7" s="16">
        <v>386.4</v>
      </c>
      <c r="T7" s="16">
        <f>777.7-S7</f>
        <v>391.30000000000007</v>
      </c>
      <c r="U7" s="16">
        <f>1169-T7-S7</f>
        <v>391.29999999999995</v>
      </c>
      <c r="V7" s="16">
        <f>('Balance Sheet'!U14*'Balance Sheet'!V56)</f>
        <v>388.60223486519351</v>
      </c>
      <c r="W7" s="17">
        <f t="shared" si="0"/>
        <v>1557.6022348651936</v>
      </c>
      <c r="X7" s="16">
        <f>('Balance Sheet'!W14*'Balance Sheet'!X56)</f>
        <v>395.05484417418882</v>
      </c>
      <c r="Y7" s="16">
        <f>('Balance Sheet'!X14*'Balance Sheet'!Y56)</f>
        <v>411.97358561619359</v>
      </c>
      <c r="Z7" s="16">
        <f>('Balance Sheet'!Y14*'Balance Sheet'!Z56)</f>
        <v>426.0942333748124</v>
      </c>
      <c r="AA7" s="16">
        <f>('Balance Sheet'!Z14*'Balance Sheet'!AA56)</f>
        <v>443.12162482405927</v>
      </c>
      <c r="AB7" s="17">
        <f t="shared" ref="AB7:AB13" si="9">SUM(X7:AA7)</f>
        <v>1676.2442879892542</v>
      </c>
      <c r="AC7" s="16">
        <f>('Balance Sheet'!AB14*'Balance Sheet'!AC56)</f>
        <v>460.36469566335944</v>
      </c>
      <c r="AD7" s="16">
        <f>('Balance Sheet'!AC14*'Balance Sheet'!AD56)</f>
        <v>473.72843212383037</v>
      </c>
      <c r="AE7" s="16">
        <f>('Balance Sheet'!AD14*'Balance Sheet'!AE56)</f>
        <v>483.94719089268239</v>
      </c>
      <c r="AF7" s="16">
        <f>('Balance Sheet'!AE14*'Balance Sheet'!AF56)</f>
        <v>497.3308997633788</v>
      </c>
      <c r="AG7" s="17">
        <f t="shared" ref="AG7:AG13" si="10">SUM(AC7:AF7)</f>
        <v>1915.3712184432509</v>
      </c>
      <c r="AH7" s="16">
        <f>('Balance Sheet'!AG14*'Balance Sheet'!AH56)</f>
        <v>511.04432742042661</v>
      </c>
      <c r="AI7" s="16">
        <f>('Balance Sheet'!AH14*'Balance Sheet'!AI56)</f>
        <v>521.28508540048176</v>
      </c>
      <c r="AJ7" s="16">
        <f>('Balance Sheet'!AI14*'Balance Sheet'!AJ56)</f>
        <v>528.61395315514869</v>
      </c>
      <c r="AK7" s="16">
        <f>('Balance Sheet'!AJ14*'Balance Sheet'!AK56)</f>
        <v>539.27985303808055</v>
      </c>
      <c r="AL7" s="17">
        <f t="shared" ref="AL7:AL13" si="11">SUM(AH7:AK7)</f>
        <v>2100.2232190141376</v>
      </c>
      <c r="AM7" s="16">
        <f>('Balance Sheet'!AL14*'Balance Sheet'!AM56)</f>
        <v>550.49689671777037</v>
      </c>
      <c r="AN7" s="16">
        <f>('Balance Sheet'!AM14*'Balance Sheet'!AN56)</f>
        <v>562.47346275039888</v>
      </c>
      <c r="AO7" s="16">
        <f>('Balance Sheet'!AN14*'Balance Sheet'!AO56)</f>
        <v>570.9960580289752</v>
      </c>
      <c r="AP7" s="16">
        <f>('Balance Sheet'!AO14*'Balance Sheet'!AP56)</f>
        <v>582.95989381806976</v>
      </c>
      <c r="AQ7" s="17">
        <f t="shared" ref="AQ7:AQ13" si="12">SUM(AM7:AP7)</f>
        <v>2266.9263113152142</v>
      </c>
      <c r="AR7" s="16">
        <f>('Balance Sheet'!AQ14*'Balance Sheet'!AR56)</f>
        <v>595.35679349257009</v>
      </c>
      <c r="AS7" s="16">
        <f>('Balance Sheet'!AR14*'Balance Sheet'!AS56)</f>
        <v>607.56363343668158</v>
      </c>
      <c r="AT7" s="16">
        <f>('Balance Sheet'!AS14*'Balance Sheet'!AT56)</f>
        <v>616.09275353103158</v>
      </c>
      <c r="AU7" s="16">
        <f>('Balance Sheet'!AT14*'Balance Sheet'!AU56)</f>
        <v>628.30472439664527</v>
      </c>
      <c r="AV7" s="17">
        <f t="shared" ref="AV7:AV13" si="13">SUM(AR7:AU7)</f>
        <v>2447.3179048569286</v>
      </c>
    </row>
    <row r="8" spans="2:48" outlineLevel="1" x14ac:dyDescent="0.3">
      <c r="B8" s="308" t="s">
        <v>223</v>
      </c>
      <c r="C8" s="44"/>
      <c r="D8" s="16">
        <v>-354.6</v>
      </c>
      <c r="E8" s="16">
        <f>-714.5-D8</f>
        <v>-359.9</v>
      </c>
      <c r="F8" s="16">
        <f>-1243.5-E8-D8</f>
        <v>-529</v>
      </c>
      <c r="G8" s="101">
        <f>-1495.4-F8-E8-D8</f>
        <v>-251.90000000000009</v>
      </c>
      <c r="H8" s="17">
        <f t="shared" si="6"/>
        <v>-1495.4</v>
      </c>
      <c r="I8" s="16">
        <v>10.4</v>
      </c>
      <c r="J8" s="16">
        <f>47.7-I8</f>
        <v>37.300000000000004</v>
      </c>
      <c r="K8" s="16">
        <f>20-J8-I8</f>
        <v>-27.700000000000003</v>
      </c>
      <c r="L8" s="101">
        <f>-25.8-K8-J8-I8</f>
        <v>-45.800000000000004</v>
      </c>
      <c r="M8" s="17">
        <f t="shared" si="7"/>
        <v>-25.800000000000004</v>
      </c>
      <c r="N8" s="16">
        <v>-6.1</v>
      </c>
      <c r="O8" s="16">
        <f>-25.2-N8</f>
        <v>-19.100000000000001</v>
      </c>
      <c r="P8" s="16">
        <f>-113.2-O8-N8</f>
        <v>-88</v>
      </c>
      <c r="Q8" s="101">
        <f>-146.2-P8-O8-N8</f>
        <v>-32.999999999999986</v>
      </c>
      <c r="R8" s="17">
        <f t="shared" si="8"/>
        <v>-146.19999999999999</v>
      </c>
      <c r="S8" s="16">
        <v>-0.3</v>
      </c>
      <c r="T8" s="16">
        <f>28.4-S8</f>
        <v>28.7</v>
      </c>
      <c r="U8" s="16">
        <f>35-T8-S8</f>
        <v>6.6000000000000005</v>
      </c>
      <c r="V8" s="16">
        <f>-('Balance Sheet'!V16-'Balance Sheet'!U16)</f>
        <v>-29.061088555148217</v>
      </c>
      <c r="W8" s="17">
        <f t="shared" si="0"/>
        <v>5.938911444851783</v>
      </c>
      <c r="X8" s="16">
        <f>-('Balance Sheet'!X16-'Balance Sheet'!V16)</f>
        <v>-85.468710659521548</v>
      </c>
      <c r="Y8" s="16">
        <f>-('Balance Sheet'!Y16-'Balance Sheet'!X16)</f>
        <v>76.615352043510484</v>
      </c>
      <c r="Z8" s="16">
        <f>-('Balance Sheet'!Z16-'Balance Sheet'!Y16)</f>
        <v>13.444085279574892</v>
      </c>
      <c r="AA8" s="16">
        <f>-('Balance Sheet'!AA16-'Balance Sheet'!Z16)</f>
        <v>5.796871076917796</v>
      </c>
      <c r="AB8" s="17">
        <f t="shared" si="9"/>
        <v>10.387597740481624</v>
      </c>
      <c r="AC8" s="16">
        <f>-('Balance Sheet'!AC16-'Balance Sheet'!AA16)</f>
        <v>-111.80204784423381</v>
      </c>
      <c r="AD8" s="16">
        <f>-('Balance Sheet'!AD16-'Balance Sheet'!AC16)</f>
        <v>85.475538825547574</v>
      </c>
      <c r="AE8" s="16">
        <f>-('Balance Sheet'!AE16-'Balance Sheet'!AD16)</f>
        <v>11.265955380932837</v>
      </c>
      <c r="AF8" s="16">
        <f>-('Balance Sheet'!AF16-'Balance Sheet'!AE16)</f>
        <v>10.591829976826375</v>
      </c>
      <c r="AG8" s="17">
        <f t="shared" si="10"/>
        <v>-4.4687236609270258</v>
      </c>
      <c r="AH8" s="16">
        <f>-('Balance Sheet'!AH16-'Balance Sheet'!AF16)</f>
        <v>-125.05453091257664</v>
      </c>
      <c r="AI8" s="16">
        <f>-('Balance Sheet'!AI16-'Balance Sheet'!AH16)</f>
        <v>92.478070341651119</v>
      </c>
      <c r="AJ8" s="16">
        <f>-('Balance Sheet'!AJ16-'Balance Sheet'!AI16)</f>
        <v>11.449695696046547</v>
      </c>
      <c r="AK8" s="16">
        <f>-('Balance Sheet'!AK16-'Balance Sheet'!AJ16)</f>
        <v>11.354166666982792</v>
      </c>
      <c r="AL8" s="17">
        <f t="shared" si="11"/>
        <v>-9.7725982078961806</v>
      </c>
      <c r="AM8" s="16">
        <f>-('Balance Sheet'!AM16-'Balance Sheet'!AK16)</f>
        <v>-136.67318679588493</v>
      </c>
      <c r="AN8" s="16">
        <f>-('Balance Sheet'!AN16-'Balance Sheet'!AM16)</f>
        <v>99.616436467583071</v>
      </c>
      <c r="AO8" s="16">
        <f>-('Balance Sheet'!AO16-'Balance Sheet'!AN16)</f>
        <v>11.747778753396688</v>
      </c>
      <c r="AP8" s="16">
        <f>-('Balance Sheet'!AP16-'Balance Sheet'!AO16)</f>
        <v>11.668837291818136</v>
      </c>
      <c r="AQ8" s="17">
        <f t="shared" si="12"/>
        <v>-13.640134283087036</v>
      </c>
      <c r="AR8" s="16">
        <f>-('Balance Sheet'!AR16-'Balance Sheet'!AP16)</f>
        <v>-148.77707258237524</v>
      </c>
      <c r="AS8" s="16">
        <f>-('Balance Sheet'!AS16-'Balance Sheet'!AR16)</f>
        <v>107.25035350842995</v>
      </c>
      <c r="AT8" s="16">
        <f>-('Balance Sheet'!AT16-'Balance Sheet'!AS16)</f>
        <v>12.062876678310658</v>
      </c>
      <c r="AU8" s="16">
        <f>-('Balance Sheet'!AU16-'Balance Sheet'!AT16)</f>
        <v>11.975353561145312</v>
      </c>
      <c r="AV8" s="17">
        <f t="shared" si="13"/>
        <v>-17.488488834489317</v>
      </c>
    </row>
    <row r="9" spans="2:48" outlineLevel="1" x14ac:dyDescent="0.3">
      <c r="B9" s="308" t="s">
        <v>271</v>
      </c>
      <c r="C9" s="44"/>
      <c r="D9" s="16">
        <v>-55</v>
      </c>
      <c r="E9" s="16">
        <f>-108.2-D9</f>
        <v>-53.2</v>
      </c>
      <c r="F9" s="16">
        <f>-174.1-E9-D9</f>
        <v>-65.899999999999991</v>
      </c>
      <c r="G9" s="101">
        <f>-250.6-F9-E9-D9</f>
        <v>-76.5</v>
      </c>
      <c r="H9" s="17">
        <f t="shared" si="6"/>
        <v>-250.6</v>
      </c>
      <c r="I9" s="16">
        <v>-62.9</v>
      </c>
      <c r="J9" s="16">
        <f>-116.3-I9</f>
        <v>-53.4</v>
      </c>
      <c r="K9" s="16">
        <f>-182.3-J9-I9</f>
        <v>-66</v>
      </c>
      <c r="L9" s="101">
        <f>-280.7-K9-J9-I9</f>
        <v>-98.399999999999977</v>
      </c>
      <c r="M9" s="17">
        <f t="shared" si="7"/>
        <v>-280.7</v>
      </c>
      <c r="N9" s="16">
        <v>-69</v>
      </c>
      <c r="O9" s="16">
        <f>-131.3-N9</f>
        <v>-62.300000000000011</v>
      </c>
      <c r="P9" s="16">
        <f>-238.3-O9-N9</f>
        <v>-107</v>
      </c>
      <c r="Q9" s="101">
        <f>-347.3-P9-O9-N9</f>
        <v>-109</v>
      </c>
      <c r="R9" s="17">
        <f t="shared" si="8"/>
        <v>-347.3</v>
      </c>
      <c r="S9" s="16">
        <v>-46.6</v>
      </c>
      <c r="T9" s="16">
        <f>-118.7-S9</f>
        <v>-72.099999999999994</v>
      </c>
      <c r="U9" s="16">
        <f>-175-T9-S9</f>
        <v>-56.300000000000004</v>
      </c>
      <c r="V9" s="16">
        <f>-'Income Statement &amp; Segments'!V16</f>
        <v>-54.1</v>
      </c>
      <c r="W9" s="17">
        <f t="shared" si="0"/>
        <v>-229.1</v>
      </c>
      <c r="X9" s="16">
        <f>-'Income Statement &amp; Segments'!X16</f>
        <v>-54.1</v>
      </c>
      <c r="Y9" s="16">
        <f>-'Income Statement &amp; Segments'!Y16</f>
        <v>-54.2</v>
      </c>
      <c r="Z9" s="16">
        <f>-'Income Statement &amp; Segments'!Z16</f>
        <v>-54.300000000000004</v>
      </c>
      <c r="AA9" s="16">
        <f>-'Income Statement &amp; Segments'!AA16</f>
        <v>-54.400000000000006</v>
      </c>
      <c r="AB9" s="17">
        <f t="shared" si="9"/>
        <v>-217.00000000000003</v>
      </c>
      <c r="AC9" s="16">
        <f>-'Income Statement &amp; Segments'!AC16</f>
        <v>-54.7</v>
      </c>
      <c r="AD9" s="16">
        <f>-'Income Statement &amp; Segments'!AD16</f>
        <v>-54.7</v>
      </c>
      <c r="AE9" s="16">
        <f>-'Income Statement &amp; Segments'!AE16</f>
        <v>-54.7</v>
      </c>
      <c r="AF9" s="16">
        <f>-'Income Statement &amp; Segments'!AF16</f>
        <v>-54.7</v>
      </c>
      <c r="AG9" s="17">
        <f t="shared" si="10"/>
        <v>-218.8</v>
      </c>
      <c r="AH9" s="16">
        <f>-'Income Statement &amp; Segments'!AH16</f>
        <v>-54.7</v>
      </c>
      <c r="AI9" s="16">
        <f>-'Income Statement &amp; Segments'!AI16</f>
        <v>-54.7</v>
      </c>
      <c r="AJ9" s="16">
        <f>-'Income Statement &amp; Segments'!AJ16</f>
        <v>-54.7</v>
      </c>
      <c r="AK9" s="16">
        <f>-'Income Statement &amp; Segments'!AK16</f>
        <v>-54.7</v>
      </c>
      <c r="AL9" s="17">
        <f t="shared" si="11"/>
        <v>-218.8</v>
      </c>
      <c r="AM9" s="16">
        <f>-'Income Statement &amp; Segments'!AM16</f>
        <v>-54.7</v>
      </c>
      <c r="AN9" s="16">
        <f>-'Income Statement &amp; Segments'!AN16</f>
        <v>-54.7</v>
      </c>
      <c r="AO9" s="16">
        <f>-'Income Statement &amp; Segments'!AO16</f>
        <v>-54.7</v>
      </c>
      <c r="AP9" s="16">
        <f>-'Income Statement &amp; Segments'!AP16</f>
        <v>-54.7</v>
      </c>
      <c r="AQ9" s="17">
        <f t="shared" si="12"/>
        <v>-218.8</v>
      </c>
      <c r="AR9" s="16">
        <f>-'Income Statement &amp; Segments'!AR16</f>
        <v>-54.7</v>
      </c>
      <c r="AS9" s="16">
        <f>-'Income Statement &amp; Segments'!AS16</f>
        <v>-54.7</v>
      </c>
      <c r="AT9" s="16">
        <f>-'Income Statement &amp; Segments'!AT16</f>
        <v>-54.7</v>
      </c>
      <c r="AU9" s="16">
        <f>-'Income Statement &amp; Segments'!AU16</f>
        <v>-54.7</v>
      </c>
      <c r="AV9" s="17">
        <f t="shared" si="13"/>
        <v>-218.8</v>
      </c>
    </row>
    <row r="10" spans="2:48" outlineLevel="1" x14ac:dyDescent="0.3">
      <c r="B10" s="308" t="s">
        <v>272</v>
      </c>
      <c r="C10" s="44"/>
      <c r="D10" s="16">
        <v>63.7</v>
      </c>
      <c r="E10" s="16">
        <f>93.3-D10</f>
        <v>29.599999999999994</v>
      </c>
      <c r="F10" s="16">
        <f>163.7-E10-D10</f>
        <v>70.399999999999991</v>
      </c>
      <c r="G10" s="101">
        <f>216.8-F10-E10-D10</f>
        <v>53.100000000000037</v>
      </c>
      <c r="H10" s="17">
        <f t="shared" si="6"/>
        <v>216.8</v>
      </c>
      <c r="I10" s="16">
        <v>64.3</v>
      </c>
      <c r="J10" s="16">
        <f>98.1-I10</f>
        <v>33.799999999999997</v>
      </c>
      <c r="K10" s="16">
        <f>165.6-J10-I10</f>
        <v>67.500000000000014</v>
      </c>
      <c r="L10" s="101">
        <f>227.7-K10-J10-I10</f>
        <v>62.099999999999994</v>
      </c>
      <c r="M10" s="17">
        <f t="shared" si="7"/>
        <v>227.70000000000002</v>
      </c>
      <c r="N10" s="16">
        <v>77.2</v>
      </c>
      <c r="O10" s="16">
        <f>130.2-N10</f>
        <v>52.999999999999986</v>
      </c>
      <c r="P10" s="16">
        <f>226.7-O10-N10</f>
        <v>96.499999999999986</v>
      </c>
      <c r="Q10" s="101">
        <f>336-P10-O10-N10</f>
        <v>109.3</v>
      </c>
      <c r="R10" s="17">
        <f t="shared" si="8"/>
        <v>336</v>
      </c>
      <c r="S10" s="16">
        <v>44.9</v>
      </c>
      <c r="T10" s="16">
        <f>100.8-S10</f>
        <v>55.9</v>
      </c>
      <c r="U10" s="16">
        <f>145.9-T10-S10</f>
        <v>45.1</v>
      </c>
      <c r="V10" s="16">
        <f>-V54*V9</f>
        <v>54.1</v>
      </c>
      <c r="W10" s="17">
        <f t="shared" si="0"/>
        <v>200</v>
      </c>
      <c r="X10" s="16">
        <f>-X54*X9</f>
        <v>54.1</v>
      </c>
      <c r="Y10" s="16">
        <f>-Y54*Y9</f>
        <v>54.2</v>
      </c>
      <c r="Z10" s="16">
        <f>-Z54*Z9</f>
        <v>54.300000000000004</v>
      </c>
      <c r="AA10" s="16">
        <f>-AA54*AA9</f>
        <v>54.400000000000006</v>
      </c>
      <c r="AB10" s="17">
        <f t="shared" si="9"/>
        <v>217.00000000000003</v>
      </c>
      <c r="AC10" s="16">
        <f>-AC54*AC9</f>
        <v>54.7</v>
      </c>
      <c r="AD10" s="16">
        <f>-AD54*AD9</f>
        <v>54.7</v>
      </c>
      <c r="AE10" s="16">
        <f>-AE54*AE9</f>
        <v>54.7</v>
      </c>
      <c r="AF10" s="16">
        <f>-AF54*AF9</f>
        <v>54.7</v>
      </c>
      <c r="AG10" s="17">
        <f t="shared" si="10"/>
        <v>218.8</v>
      </c>
      <c r="AH10" s="16">
        <f>-AH54*AH9</f>
        <v>54.7</v>
      </c>
      <c r="AI10" s="16">
        <f>-AI54*AI9</f>
        <v>54.7</v>
      </c>
      <c r="AJ10" s="16">
        <f>-AJ54*AJ9</f>
        <v>54.7</v>
      </c>
      <c r="AK10" s="16">
        <f>-AK54*AK9</f>
        <v>54.7</v>
      </c>
      <c r="AL10" s="17">
        <f t="shared" si="11"/>
        <v>218.8</v>
      </c>
      <c r="AM10" s="16">
        <f>-AM54*AM9</f>
        <v>54.7</v>
      </c>
      <c r="AN10" s="16">
        <f>-AN54*AN9</f>
        <v>54.7</v>
      </c>
      <c r="AO10" s="16">
        <f>-AO54*AO9</f>
        <v>54.7</v>
      </c>
      <c r="AP10" s="16">
        <f>-AP54*AP9</f>
        <v>54.7</v>
      </c>
      <c r="AQ10" s="17">
        <f t="shared" si="12"/>
        <v>218.8</v>
      </c>
      <c r="AR10" s="16">
        <f>-AR54*AR9</f>
        <v>54.7</v>
      </c>
      <c r="AS10" s="16">
        <f>-AS54*AS9</f>
        <v>54.7</v>
      </c>
      <c r="AT10" s="16">
        <f>-AT54*AT9</f>
        <v>54.7</v>
      </c>
      <c r="AU10" s="16">
        <f>-AU54*AU9</f>
        <v>54.7</v>
      </c>
      <c r="AV10" s="17">
        <f t="shared" si="13"/>
        <v>218.8</v>
      </c>
    </row>
    <row r="11" spans="2:48" outlineLevel="1" x14ac:dyDescent="0.3">
      <c r="B11" s="308" t="s">
        <v>273</v>
      </c>
      <c r="C11" s="44"/>
      <c r="D11" s="16">
        <v>0</v>
      </c>
      <c r="E11" s="16">
        <f>-21-D11</f>
        <v>-21</v>
      </c>
      <c r="F11" s="16">
        <f>-622.8-E11-D11</f>
        <v>-601.79999999999995</v>
      </c>
      <c r="G11" s="101">
        <f>-622.8-F11-E11-D11</f>
        <v>0</v>
      </c>
      <c r="H11" s="17">
        <f t="shared" si="6"/>
        <v>-622.79999999999995</v>
      </c>
      <c r="I11" s="16">
        <v>0</v>
      </c>
      <c r="J11" s="16">
        <f>0-I11</f>
        <v>0</v>
      </c>
      <c r="K11" s="16">
        <f>0-J11-I11</f>
        <v>0</v>
      </c>
      <c r="L11" s="101">
        <f>0-K11-J11-I11</f>
        <v>0</v>
      </c>
      <c r="M11" s="17">
        <f t="shared" si="7"/>
        <v>0</v>
      </c>
      <c r="N11" s="16">
        <v>0</v>
      </c>
      <c r="O11" s="16">
        <f>0-N11</f>
        <v>0</v>
      </c>
      <c r="P11" s="16">
        <f>0-O11-N11</f>
        <v>0</v>
      </c>
      <c r="Q11" s="101">
        <f>-864.5-P11-O11-N11</f>
        <v>-864.5</v>
      </c>
      <c r="R11" s="17">
        <f t="shared" si="8"/>
        <v>-864.5</v>
      </c>
      <c r="S11" s="16">
        <v>0</v>
      </c>
      <c r="T11" s="16">
        <f>0-S11</f>
        <v>0</v>
      </c>
      <c r="U11" s="16">
        <f t="shared" ref="U11" si="14">0-T11-S11</f>
        <v>0</v>
      </c>
      <c r="V11" s="16">
        <v>0</v>
      </c>
      <c r="W11" s="17">
        <f t="shared" si="0"/>
        <v>0</v>
      </c>
      <c r="X11" s="16">
        <v>0</v>
      </c>
      <c r="Y11" s="16">
        <v>0</v>
      </c>
      <c r="Z11" s="16">
        <v>0</v>
      </c>
      <c r="AA11" s="16">
        <v>0</v>
      </c>
      <c r="AB11" s="17">
        <f t="shared" si="9"/>
        <v>0</v>
      </c>
      <c r="AC11" s="16">
        <v>0</v>
      </c>
      <c r="AD11" s="16">
        <v>0</v>
      </c>
      <c r="AE11" s="16">
        <v>0</v>
      </c>
      <c r="AF11" s="16">
        <v>0</v>
      </c>
      <c r="AG11" s="17">
        <f t="shared" si="10"/>
        <v>0</v>
      </c>
      <c r="AH11" s="16">
        <v>0</v>
      </c>
      <c r="AI11" s="16">
        <v>0</v>
      </c>
      <c r="AJ11" s="16">
        <v>0</v>
      </c>
      <c r="AK11" s="16">
        <v>0</v>
      </c>
      <c r="AL11" s="17">
        <f t="shared" si="11"/>
        <v>0</v>
      </c>
      <c r="AM11" s="16">
        <v>0</v>
      </c>
      <c r="AN11" s="16">
        <v>0</v>
      </c>
      <c r="AO11" s="16">
        <v>0</v>
      </c>
      <c r="AP11" s="16">
        <v>0</v>
      </c>
      <c r="AQ11" s="17">
        <f t="shared" si="12"/>
        <v>0</v>
      </c>
      <c r="AR11" s="16">
        <v>0</v>
      </c>
      <c r="AS11" s="16">
        <v>0</v>
      </c>
      <c r="AT11" s="16">
        <v>0</v>
      </c>
      <c r="AU11" s="16">
        <v>0</v>
      </c>
      <c r="AV11" s="17">
        <f t="shared" si="13"/>
        <v>0</v>
      </c>
    </row>
    <row r="12" spans="2:48" outlineLevel="1" x14ac:dyDescent="0.3">
      <c r="B12" s="308" t="s">
        <v>274</v>
      </c>
      <c r="C12" s="44"/>
      <c r="D12" s="16">
        <v>97.3</v>
      </c>
      <c r="E12" s="16">
        <f>192.1-D12</f>
        <v>94.8</v>
      </c>
      <c r="F12" s="16">
        <f>255.4-E12-D12</f>
        <v>63.300000000000026</v>
      </c>
      <c r="G12" s="101">
        <f>308-F12-E12-D12</f>
        <v>52.59999999999998</v>
      </c>
      <c r="H12" s="17">
        <f t="shared" si="6"/>
        <v>308</v>
      </c>
      <c r="I12" s="16">
        <v>90.3</v>
      </c>
      <c r="J12" s="16">
        <f>146.6-I12</f>
        <v>56.3</v>
      </c>
      <c r="K12" s="16">
        <f>188-J12-I12</f>
        <v>41.399999999999991</v>
      </c>
      <c r="L12" s="101">
        <f>248.6-K12-J12-I12</f>
        <v>60.59999999999998</v>
      </c>
      <c r="M12" s="17">
        <f t="shared" si="7"/>
        <v>248.59999999999997</v>
      </c>
      <c r="N12" s="16">
        <v>99.3</v>
      </c>
      <c r="O12" s="16">
        <f>175.3-N12</f>
        <v>76.000000000000014</v>
      </c>
      <c r="P12" s="16">
        <f>255.3-O12-N12</f>
        <v>80.000000000000014</v>
      </c>
      <c r="Q12" s="101">
        <f>319.1-P12-O12-N12</f>
        <v>63.800000000000026</v>
      </c>
      <c r="R12" s="17">
        <f t="shared" si="8"/>
        <v>319.10000000000002</v>
      </c>
      <c r="S12" s="16">
        <v>95.8</v>
      </c>
      <c r="T12" s="16">
        <f>149.2-S12</f>
        <v>53.399999999999991</v>
      </c>
      <c r="U12" s="16">
        <f>206.6-T12-S12</f>
        <v>57.399999999999991</v>
      </c>
      <c r="V12" s="16">
        <f>'Income Statement &amp; Segments'!V8*V53</f>
        <v>69.964664787652922</v>
      </c>
      <c r="W12" s="17">
        <f t="shared" si="0"/>
        <v>276.56466478765287</v>
      </c>
      <c r="X12" s="16">
        <f>'Income Statement &amp; Segments'!X8*X53</f>
        <v>74.500596857055086</v>
      </c>
      <c r="Y12" s="16">
        <f>'Income Statement &amp; Segments'!Y8*Y53</f>
        <v>65.198665506355923</v>
      </c>
      <c r="Z12" s="16">
        <f>'Income Statement &amp; Segments'!Z8*Z53</f>
        <v>73.176438384221598</v>
      </c>
      <c r="AA12" s="16">
        <f>'Income Statement &amp; Segments'!AA8*AA53</f>
        <v>76.99406692963656</v>
      </c>
      <c r="AB12" s="17">
        <f t="shared" si="9"/>
        <v>289.86976767726918</v>
      </c>
      <c r="AC12" s="16">
        <f>'Income Statement &amp; Segments'!AC8*AC53</f>
        <v>79.147177393420236</v>
      </c>
      <c r="AD12" s="16">
        <f>'Income Statement &amp; Segments'!AD8*AD53</f>
        <v>73.759187719512198</v>
      </c>
      <c r="AE12" s="16">
        <f>'Income Statement &amp; Segments'!AE8*AE53</f>
        <v>81.457077993814693</v>
      </c>
      <c r="AF12" s="16">
        <f>'Income Statement &amp; Segments'!AF8*AF53</f>
        <v>83.846530958848987</v>
      </c>
      <c r="AG12" s="17">
        <f t="shared" si="10"/>
        <v>318.2099740655961</v>
      </c>
      <c r="AH12" s="16">
        <f>'Income Statement &amp; Segments'!AH8*AH53</f>
        <v>87.727634522356112</v>
      </c>
      <c r="AI12" s="16">
        <f>'Income Statement &amp; Segments'!AI8*AI53</f>
        <v>82.752156081540846</v>
      </c>
      <c r="AJ12" s="16">
        <f>'Income Statement &amp; Segments'!AJ8*AJ53</f>
        <v>90.907008537366281</v>
      </c>
      <c r="AK12" s="16">
        <f>'Income Statement &amp; Segments'!AK8*AK53</f>
        <v>93.466833723848723</v>
      </c>
      <c r="AL12" s="17">
        <f t="shared" si="11"/>
        <v>354.85363286511193</v>
      </c>
      <c r="AM12" s="16">
        <f>'Income Statement &amp; Segments'!AM8*AM53</f>
        <v>96.484464802490663</v>
      </c>
      <c r="AN12" s="16">
        <f>'Income Statement &amp; Segments'!AN8*AN53</f>
        <v>90.684872500253007</v>
      </c>
      <c r="AO12" s="16">
        <f>'Income Statement &amp; Segments'!AO8*AO53</f>
        <v>99.121174116546584</v>
      </c>
      <c r="AP12" s="16">
        <f>'Income Statement &amp; Segments'!AP8*AP53</f>
        <v>101.58165837586701</v>
      </c>
      <c r="AQ12" s="17">
        <f t="shared" si="12"/>
        <v>387.87216979515722</v>
      </c>
      <c r="AR12" s="16">
        <f>'Income Statement &amp; Segments'!AR8*AR53</f>
        <v>102.76941481176389</v>
      </c>
      <c r="AS12" s="16">
        <f>'Income Statement &amp; Segments'!AS8*AS53</f>
        <v>96.530864617637349</v>
      </c>
      <c r="AT12" s="16">
        <f>'Income Statement &amp; Segments'!AT8*AT53</f>
        <v>105.4619220369474</v>
      </c>
      <c r="AU12" s="16">
        <f>'Income Statement &amp; Segments'!AU8*AU53</f>
        <v>108.11259059057532</v>
      </c>
      <c r="AV12" s="17">
        <f t="shared" si="13"/>
        <v>412.87479205692398</v>
      </c>
    </row>
    <row r="13" spans="2:48" outlineLevel="1" x14ac:dyDescent="0.3">
      <c r="B13" s="319" t="s">
        <v>275</v>
      </c>
      <c r="C13" s="320"/>
      <c r="D13" s="16">
        <v>6.1</v>
      </c>
      <c r="E13" s="101">
        <f>5.4+91.1-D13</f>
        <v>90.4</v>
      </c>
      <c r="F13" s="101">
        <f>10.5+122.3-E13-D13</f>
        <v>36.300000000000004</v>
      </c>
      <c r="G13" s="101">
        <f>10.5+187.9-F13-E13-D13</f>
        <v>65.599999999999994</v>
      </c>
      <c r="H13" s="17">
        <f t="shared" si="6"/>
        <v>198.4</v>
      </c>
      <c r="I13" s="101">
        <f>5.1+294.9</f>
        <v>300</v>
      </c>
      <c r="J13" s="101">
        <f>596.3+67.7-I13</f>
        <v>364</v>
      </c>
      <c r="K13" s="101">
        <f>902.4+124.6+63.7-J13-I13</f>
        <v>426.70000000000005</v>
      </c>
      <c r="L13" s="101">
        <f>1197.6+454.4+24.5-K13-J13-I13</f>
        <v>585.79999999999995</v>
      </c>
      <c r="M13" s="17">
        <f t="shared" si="7"/>
        <v>1676.5</v>
      </c>
      <c r="N13" s="101">
        <f>308.3+132.6-10.2</f>
        <v>430.7</v>
      </c>
      <c r="O13" s="101">
        <f>617.9+175.4-15.4-N13</f>
        <v>347.2</v>
      </c>
      <c r="P13" s="101">
        <f>931.7+204.7-6.8-O13-N13</f>
        <v>351.7000000000001</v>
      </c>
      <c r="Q13" s="101">
        <f>1248.6+226.2-6-P13-O13-N13</f>
        <v>339.19999999999987</v>
      </c>
      <c r="R13" s="17">
        <f t="shared" si="8"/>
        <v>1468.8</v>
      </c>
      <c r="S13" s="101">
        <v>0</v>
      </c>
      <c r="T13" s="101">
        <f>0-S13</f>
        <v>0</v>
      </c>
      <c r="U13" s="101">
        <f>1090.4+89.6-44.7</f>
        <v>1135.3</v>
      </c>
      <c r="V13" s="33">
        <v>0</v>
      </c>
      <c r="W13" s="17">
        <f t="shared" si="0"/>
        <v>1135.3</v>
      </c>
      <c r="X13" s="33">
        <v>0</v>
      </c>
      <c r="Y13" s="33">
        <v>0</v>
      </c>
      <c r="Z13" s="33">
        <v>0</v>
      </c>
      <c r="AA13" s="33">
        <v>0</v>
      </c>
      <c r="AB13" s="17">
        <f t="shared" si="9"/>
        <v>0</v>
      </c>
      <c r="AC13" s="33">
        <v>0</v>
      </c>
      <c r="AD13" s="33">
        <v>0</v>
      </c>
      <c r="AE13" s="33">
        <v>0</v>
      </c>
      <c r="AF13" s="33">
        <v>0</v>
      </c>
      <c r="AG13" s="17">
        <f t="shared" si="10"/>
        <v>0</v>
      </c>
      <c r="AH13" s="33">
        <v>0</v>
      </c>
      <c r="AI13" s="33">
        <v>0</v>
      </c>
      <c r="AJ13" s="33">
        <v>0</v>
      </c>
      <c r="AK13" s="33">
        <v>0</v>
      </c>
      <c r="AL13" s="17">
        <f t="shared" si="11"/>
        <v>0</v>
      </c>
      <c r="AM13" s="33">
        <v>0</v>
      </c>
      <c r="AN13" s="33">
        <v>0</v>
      </c>
      <c r="AO13" s="33">
        <v>0</v>
      </c>
      <c r="AP13" s="33">
        <v>0</v>
      </c>
      <c r="AQ13" s="17">
        <f t="shared" si="12"/>
        <v>0</v>
      </c>
      <c r="AR13" s="33">
        <v>0</v>
      </c>
      <c r="AS13" s="33">
        <v>0</v>
      </c>
      <c r="AT13" s="33">
        <v>0</v>
      </c>
      <c r="AU13" s="33">
        <v>0</v>
      </c>
      <c r="AV13" s="17">
        <f t="shared" si="13"/>
        <v>0</v>
      </c>
    </row>
    <row r="14" spans="2:48" outlineLevel="1" x14ac:dyDescent="0.3">
      <c r="B14" s="476" t="s">
        <v>276</v>
      </c>
      <c r="C14" s="477"/>
      <c r="D14" s="321"/>
      <c r="E14" s="322"/>
      <c r="F14" s="323"/>
      <c r="G14" s="323"/>
      <c r="H14" s="324"/>
      <c r="I14" s="323"/>
      <c r="J14" s="323"/>
      <c r="K14" s="323"/>
      <c r="L14" s="323"/>
      <c r="M14" s="324"/>
      <c r="N14" s="323"/>
      <c r="O14" s="323"/>
      <c r="P14" s="323"/>
      <c r="Q14" s="323"/>
      <c r="R14" s="324"/>
      <c r="S14" s="323"/>
      <c r="T14" s="323"/>
      <c r="U14" s="323"/>
      <c r="V14" s="323"/>
      <c r="W14" s="324"/>
      <c r="X14" s="323"/>
      <c r="Y14" s="323"/>
      <c r="Z14" s="323"/>
      <c r="AA14" s="323"/>
      <c r="AB14" s="324"/>
      <c r="AC14" s="323"/>
      <c r="AD14" s="323"/>
      <c r="AE14" s="323"/>
      <c r="AF14" s="323"/>
      <c r="AG14" s="324"/>
      <c r="AH14" s="323"/>
      <c r="AI14" s="323"/>
      <c r="AJ14" s="323"/>
      <c r="AK14" s="323"/>
      <c r="AL14" s="324"/>
      <c r="AM14" s="323"/>
      <c r="AN14" s="323"/>
      <c r="AO14" s="323"/>
      <c r="AP14" s="323"/>
      <c r="AQ14" s="324"/>
      <c r="AR14" s="323"/>
      <c r="AS14" s="323"/>
      <c r="AT14" s="323"/>
      <c r="AU14" s="323"/>
      <c r="AV14" s="324"/>
    </row>
    <row r="15" spans="2:48" outlineLevel="1" x14ac:dyDescent="0.3">
      <c r="B15" s="474" t="s">
        <v>277</v>
      </c>
      <c r="C15" s="475"/>
      <c r="D15" s="327">
        <v>-28.8</v>
      </c>
      <c r="E15" s="327">
        <f>9.8-D15</f>
        <v>38.6</v>
      </c>
      <c r="F15" s="327">
        <f>-70.1-E15-D15</f>
        <v>-79.899999999999991</v>
      </c>
      <c r="G15" s="327">
        <f>-197.7-F15-E15-D15</f>
        <v>-127.60000000000001</v>
      </c>
      <c r="H15" s="328">
        <f t="shared" ref="H15:H21" si="15">SUM(D15:G15)</f>
        <v>-197.7</v>
      </c>
      <c r="I15" s="327">
        <v>-22.9</v>
      </c>
      <c r="J15" s="327">
        <f>-60.7-I15</f>
        <v>-37.800000000000004</v>
      </c>
      <c r="K15" s="327">
        <f>13.4-J15-I15</f>
        <v>74.099999999999994</v>
      </c>
      <c r="L15" s="327">
        <f>-2.7-K15-J15-I15</f>
        <v>-16.099999999999994</v>
      </c>
      <c r="M15" s="328">
        <f t="shared" ref="M15:M21" si="16">SUM(I15:L15)</f>
        <v>-2.7000000000000028</v>
      </c>
      <c r="N15" s="327">
        <v>19.600000000000001</v>
      </c>
      <c r="O15" s="327">
        <f>12.8-N15</f>
        <v>-6.8000000000000007</v>
      </c>
      <c r="P15" s="327">
        <f>-13.1-O15-N15</f>
        <v>-25.9</v>
      </c>
      <c r="Q15" s="327">
        <f>-43-P15-O15-N15</f>
        <v>-29.900000000000002</v>
      </c>
      <c r="R15" s="328">
        <f t="shared" ref="R15:R21" si="17">SUM(N15:Q15)</f>
        <v>-43</v>
      </c>
      <c r="S15" s="327">
        <v>-91.6</v>
      </c>
      <c r="T15" s="327">
        <f>-62.1-S15</f>
        <v>29.499999999999993</v>
      </c>
      <c r="U15" s="327">
        <f>-245.5-T15-S15</f>
        <v>-183.4</v>
      </c>
      <c r="V15" s="327">
        <f>-('Balance Sheet'!V8-'Balance Sheet'!U8)</f>
        <v>81.947992724675032</v>
      </c>
      <c r="W15" s="328">
        <f t="shared" ref="W15:W21" si="18">SUM(S15:V15)</f>
        <v>-163.55200727532497</v>
      </c>
      <c r="X15" s="327">
        <f>-('Balance Sheet'!X8-'Balance Sheet'!V8)</f>
        <v>-55.610602128540677</v>
      </c>
      <c r="Y15" s="327">
        <f>-('Balance Sheet'!Y8-'Balance Sheet'!X8)</f>
        <v>-47.641630315567227</v>
      </c>
      <c r="Z15" s="327">
        <f>-('Balance Sheet'!Z8-'Balance Sheet'!Y8)</f>
        <v>-202.30878876819224</v>
      </c>
      <c r="AA15" s="327">
        <f>-('Balance Sheet'!AA8-'Balance Sheet'!Z8)</f>
        <v>168.64026072464071</v>
      </c>
      <c r="AB15" s="328">
        <f t="shared" ref="AB15:AB21" si="19">SUM(X15:AA15)</f>
        <v>-136.92076048765944</v>
      </c>
      <c r="AC15" s="327">
        <f>-('Balance Sheet'!AC8-'Balance Sheet'!AA8)</f>
        <v>-60.676017205583548</v>
      </c>
      <c r="AD15" s="327">
        <f>-('Balance Sheet'!AD8-'Balance Sheet'!AC8)</f>
        <v>28.138516975505127</v>
      </c>
      <c r="AE15" s="327">
        <f>-('Balance Sheet'!AE8-'Balance Sheet'!AD8)</f>
        <v>-139.15017764151003</v>
      </c>
      <c r="AF15" s="327">
        <f>-('Balance Sheet'!AF8-'Balance Sheet'!AE8)</f>
        <v>94.064754570011473</v>
      </c>
      <c r="AG15" s="328">
        <f t="shared" ref="AG15:AG21" si="20">SUM(AC15:AF15)</f>
        <v>-77.622923301576975</v>
      </c>
      <c r="AH15" s="327">
        <f>-('Balance Sheet'!AH8-'Balance Sheet'!AF8)</f>
        <v>-121.44331289662068</v>
      </c>
      <c r="AI15" s="327">
        <f>-('Balance Sheet'!AI8-'Balance Sheet'!AH8)</f>
        <v>18.418826250513348</v>
      </c>
      <c r="AJ15" s="327">
        <f>-('Balance Sheet'!AJ8-'Balance Sheet'!AI8)</f>
        <v>-212.49332660922414</v>
      </c>
      <c r="AK15" s="327">
        <f>-('Balance Sheet'!AK8-'Balance Sheet'!AJ8)</f>
        <v>130.78402029181757</v>
      </c>
      <c r="AL15" s="328">
        <f t="shared" ref="AL15:AL21" si="21">SUM(AH15:AK15)</f>
        <v>-184.73379296351391</v>
      </c>
      <c r="AM15" s="327">
        <f>-('Balance Sheet'!AM8-'Balance Sheet'!AK8)</f>
        <v>-80.358458903846667</v>
      </c>
      <c r="AN15" s="327">
        <f>-('Balance Sheet'!AN8-'Balance Sheet'!AM8)</f>
        <v>17.955124230011052</v>
      </c>
      <c r="AO15" s="327">
        <f>-('Balance Sheet'!AO8-'Balance Sheet'!AN8)</f>
        <v>-217.18976233464264</v>
      </c>
      <c r="AP15" s="327">
        <f>-('Balance Sheet'!AP8-'Balance Sheet'!AO8)</f>
        <v>159.51159829116364</v>
      </c>
      <c r="AQ15" s="328">
        <f t="shared" ref="AQ15:AQ21" si="22">SUM(AM15:AP15)</f>
        <v>-120.08149871731462</v>
      </c>
      <c r="AR15" s="327">
        <f>-('Balance Sheet'!AR8-'Balance Sheet'!AP8)</f>
        <v>-60.943817533797073</v>
      </c>
      <c r="AS15" s="327">
        <f>-('Balance Sheet'!AS8-'Balance Sheet'!AR8)</f>
        <v>32.897915351049051</v>
      </c>
      <c r="AT15" s="327">
        <f>-('Balance Sheet'!AT8-'Balance Sheet'!AS8)</f>
        <v>-214.67816604780023</v>
      </c>
      <c r="AU15" s="327">
        <f>-('Balance Sheet'!AU8-'Balance Sheet'!AT8)</f>
        <v>148.91455693651801</v>
      </c>
      <c r="AV15" s="328">
        <f t="shared" ref="AV15:AV21" si="23">SUM(AR15:AU15)</f>
        <v>-93.809511294030244</v>
      </c>
    </row>
    <row r="16" spans="2:48" outlineLevel="1" x14ac:dyDescent="0.3">
      <c r="B16" s="325" t="s">
        <v>216</v>
      </c>
      <c r="C16" s="326"/>
      <c r="D16" s="327">
        <v>44.8</v>
      </c>
      <c r="E16" s="327">
        <f>-51-D16</f>
        <v>-95.8</v>
      </c>
      <c r="F16" s="327">
        <f>-140.5-E16-D16</f>
        <v>-89.5</v>
      </c>
      <c r="G16" s="327">
        <f>-173-F16-E16-D16</f>
        <v>-32.5</v>
      </c>
      <c r="H16" s="328">
        <f t="shared" si="15"/>
        <v>-173</v>
      </c>
      <c r="I16" s="327">
        <v>122.8</v>
      </c>
      <c r="J16" s="327">
        <f>36.9-I16</f>
        <v>-85.9</v>
      </c>
      <c r="K16" s="327">
        <f>-51.7-J16-I16</f>
        <v>-88.6</v>
      </c>
      <c r="L16" s="327">
        <f>-10.9-K16-J16-I16</f>
        <v>40.799999999999997</v>
      </c>
      <c r="M16" s="328">
        <f t="shared" si="16"/>
        <v>-10.900000000000006</v>
      </c>
      <c r="N16" s="327">
        <v>90.1</v>
      </c>
      <c r="O16" s="327">
        <f>51.3-N16</f>
        <v>-38.799999999999997</v>
      </c>
      <c r="P16" s="327">
        <f>8.4-O16-N16</f>
        <v>-42.9</v>
      </c>
      <c r="Q16" s="327">
        <f>-49.8-P16-O16-N16</f>
        <v>-58.199999999999996</v>
      </c>
      <c r="R16" s="328">
        <f t="shared" si="17"/>
        <v>-49.8</v>
      </c>
      <c r="S16" s="327">
        <v>-36</v>
      </c>
      <c r="T16" s="327">
        <f>-324.9-S16</f>
        <v>-288.89999999999998</v>
      </c>
      <c r="U16" s="327">
        <f>-557.3-T16-S16</f>
        <v>-232.39999999999998</v>
      </c>
      <c r="V16" s="327">
        <f>-('Balance Sheet'!V9-'Balance Sheet'!U9)</f>
        <v>230.17685105161627</v>
      </c>
      <c r="W16" s="328">
        <f t="shared" si="18"/>
        <v>-327.12314894838369</v>
      </c>
      <c r="X16" s="327">
        <f>-('Balance Sheet'!X9-'Balance Sheet'!V9)</f>
        <v>50.968836132077286</v>
      </c>
      <c r="Y16" s="327">
        <f>-('Balance Sheet'!Y9-'Balance Sheet'!X9)</f>
        <v>-198.34437961405547</v>
      </c>
      <c r="Z16" s="327">
        <f>-('Balance Sheet'!Z9-'Balance Sheet'!Y9)</f>
        <v>-418.66248602383303</v>
      </c>
      <c r="AA16" s="327">
        <f>-('Balance Sheet'!AA9-'Balance Sheet'!Z9)</f>
        <v>378.81019356275965</v>
      </c>
      <c r="AB16" s="328">
        <f t="shared" si="19"/>
        <v>-187.22783594305156</v>
      </c>
      <c r="AC16" s="327">
        <f>-('Balance Sheet'!AC9-'Balance Sheet'!AA9)</f>
        <v>49.022620696068316</v>
      </c>
      <c r="AD16" s="327">
        <f>-('Balance Sheet'!AD9-'Balance Sheet'!AC9)</f>
        <v>-177.29332688166505</v>
      </c>
      <c r="AE16" s="327">
        <f>-('Balance Sheet'!AE9-'Balance Sheet'!AD9)</f>
        <v>-291.93166011439507</v>
      </c>
      <c r="AF16" s="327">
        <f>-('Balance Sheet'!AF9-'Balance Sheet'!AE9)</f>
        <v>235.89924009949391</v>
      </c>
      <c r="AG16" s="328">
        <f t="shared" si="20"/>
        <v>-184.3031262004979</v>
      </c>
      <c r="AH16" s="327">
        <f>-('Balance Sheet'!AH9-'Balance Sheet'!AF9)</f>
        <v>57.595713526479813</v>
      </c>
      <c r="AI16" s="327">
        <f>-('Balance Sheet'!AI9-'Balance Sheet'!AH9)</f>
        <v>-245.91331939683914</v>
      </c>
      <c r="AJ16" s="327">
        <f>-('Balance Sheet'!AJ9-'Balance Sheet'!AI9)</f>
        <v>-402.07896124089893</v>
      </c>
      <c r="AK16" s="327">
        <f>-('Balance Sheet'!AK9-'Balance Sheet'!AJ9)</f>
        <v>283.77054281896744</v>
      </c>
      <c r="AL16" s="328">
        <f t="shared" si="21"/>
        <v>-306.62602429229082</v>
      </c>
      <c r="AM16" s="327">
        <f>-('Balance Sheet'!AM9-'Balance Sheet'!AK9)</f>
        <v>128.89334725752315</v>
      </c>
      <c r="AN16" s="327">
        <f>-('Balance Sheet'!AN9-'Balance Sheet'!AM9)</f>
        <v>-222.49768997264346</v>
      </c>
      <c r="AO16" s="327">
        <f>-('Balance Sheet'!AO9-'Balance Sheet'!AN9)</f>
        <v>-434.94924390666256</v>
      </c>
      <c r="AP16" s="327">
        <f>-('Balance Sheet'!AP9-'Balance Sheet'!AO9)</f>
        <v>320.90131179469972</v>
      </c>
      <c r="AQ16" s="328">
        <f t="shared" si="22"/>
        <v>-207.65227482708315</v>
      </c>
      <c r="AR16" s="327">
        <f>-('Balance Sheet'!AR9-'Balance Sheet'!AP9)</f>
        <v>176.15380559137566</v>
      </c>
      <c r="AS16" s="327">
        <f>-('Balance Sheet'!AS9-'Balance Sheet'!AR9)</f>
        <v>-234.21112185295533</v>
      </c>
      <c r="AT16" s="327">
        <f>-('Balance Sheet'!AT9-'Balance Sheet'!AS9)</f>
        <v>-420.61642400330174</v>
      </c>
      <c r="AU16" s="327">
        <f>-('Balance Sheet'!AU9-'Balance Sheet'!AT9)</f>
        <v>316.91088076407641</v>
      </c>
      <c r="AV16" s="328">
        <f t="shared" si="23"/>
        <v>-161.76285950080501</v>
      </c>
    </row>
    <row r="17" spans="2:48" outlineLevel="1" x14ac:dyDescent="0.3">
      <c r="B17" s="474" t="s">
        <v>278</v>
      </c>
      <c r="C17" s="475"/>
      <c r="D17" s="327">
        <v>847.3</v>
      </c>
      <c r="E17" s="327">
        <f>774.6-D17</f>
        <v>-72.699999999999932</v>
      </c>
      <c r="F17" s="327">
        <f>831.6-E17-D17</f>
        <v>57</v>
      </c>
      <c r="G17" s="327">
        <f>922-F17-E17-D17</f>
        <v>90.399999999999977</v>
      </c>
      <c r="H17" s="328">
        <f t="shared" si="15"/>
        <v>922</v>
      </c>
      <c r="I17" s="327">
        <v>-28.5</v>
      </c>
      <c r="J17" s="327">
        <f>-247.7-I17</f>
        <v>-219.2</v>
      </c>
      <c r="K17" s="327">
        <f>-492.1-J17-I17</f>
        <v>-244.40000000000003</v>
      </c>
      <c r="L17" s="327">
        <f>-317.5-K17-J17-I17</f>
        <v>174.60000000000002</v>
      </c>
      <c r="M17" s="328">
        <f t="shared" si="16"/>
        <v>-317.5</v>
      </c>
      <c r="N17" s="327">
        <v>5.2</v>
      </c>
      <c r="O17" s="327">
        <f>139.7-N17</f>
        <v>134.5</v>
      </c>
      <c r="P17" s="327">
        <f>216.8-O17-N17</f>
        <v>77.100000000000009</v>
      </c>
      <c r="Q17" s="327">
        <f>251.1-P17-O17-N17</f>
        <v>34.299999999999997</v>
      </c>
      <c r="R17" s="328">
        <f t="shared" si="17"/>
        <v>251.10000000000002</v>
      </c>
      <c r="S17" s="327">
        <f>64.6+330.4+50.7-4.9</f>
        <v>440.8</v>
      </c>
      <c r="T17" s="327">
        <f>-120.7+670.7+77.3-17.9-S17</f>
        <v>168.59999999999997</v>
      </c>
      <c r="U17" s="327">
        <f t="shared" ref="U17:U20" si="24">0-T17-S17</f>
        <v>-609.4</v>
      </c>
      <c r="V17" s="327">
        <f>-('Balance Sheet'!V10-'Balance Sheet'!U10)</f>
        <v>-5.3410000000000082</v>
      </c>
      <c r="W17" s="328">
        <f t="shared" si="18"/>
        <v>-5.3410000000000082</v>
      </c>
      <c r="X17" s="327">
        <f>-('Balance Sheet'!X10-'Balance Sheet'!V10)</f>
        <v>-5.3944099999999935</v>
      </c>
      <c r="Y17" s="327">
        <f>-('Balance Sheet'!Y10-'Balance Sheet'!X10)</f>
        <v>-5.4483540999999605</v>
      </c>
      <c r="Z17" s="327">
        <f>-('Balance Sheet'!Z10-'Balance Sheet'!Y10)</f>
        <v>-5.5028376410000419</v>
      </c>
      <c r="AA17" s="327">
        <f>-('Balance Sheet'!AA10-'Balance Sheet'!Z10)</f>
        <v>-5.5578660174099923</v>
      </c>
      <c r="AB17" s="328">
        <f t="shared" si="19"/>
        <v>-21.903467758409988</v>
      </c>
      <c r="AC17" s="327">
        <f>-('Balance Sheet'!AC10-'Balance Sheet'!AA10)</f>
        <v>-5.6134446775840843</v>
      </c>
      <c r="AD17" s="327">
        <f>-('Balance Sheet'!AD10-'Balance Sheet'!AC10)</f>
        <v>-5.6695791243599842</v>
      </c>
      <c r="AE17" s="327">
        <f>-('Balance Sheet'!AE10-'Balance Sheet'!AD10)</f>
        <v>-5.7262749156035397</v>
      </c>
      <c r="AF17" s="327">
        <f>-('Balance Sheet'!AF10-'Balance Sheet'!AE10)</f>
        <v>-5.7835376647595922</v>
      </c>
      <c r="AG17" s="328">
        <f t="shared" si="20"/>
        <v>-22.7928363823072</v>
      </c>
      <c r="AH17" s="327">
        <f>-('Balance Sheet'!AH10-'Balance Sheet'!AF10)</f>
        <v>-5.8413730414072234</v>
      </c>
      <c r="AI17" s="327">
        <f>-('Balance Sheet'!AI10-'Balance Sheet'!AH10)</f>
        <v>-5.8997867718212547</v>
      </c>
      <c r="AJ17" s="327">
        <f>-('Balance Sheet'!AJ10-'Balance Sheet'!AI10)</f>
        <v>-5.9587846395394308</v>
      </c>
      <c r="AK17" s="327">
        <f>-('Balance Sheet'!AK10-'Balance Sheet'!AJ10)</f>
        <v>-6.0183724859348331</v>
      </c>
      <c r="AL17" s="328">
        <f t="shared" si="21"/>
        <v>-23.718316938702742</v>
      </c>
      <c r="AM17" s="327">
        <f>-('Balance Sheet'!AM10-'Balance Sheet'!AK10)</f>
        <v>-6.0785562107942042</v>
      </c>
      <c r="AN17" s="327">
        <f>-('Balance Sheet'!AN10-'Balance Sheet'!AM10)</f>
        <v>-6.1393417729021849</v>
      </c>
      <c r="AO17" s="327">
        <f>-('Balance Sheet'!AO10-'Balance Sheet'!AN10)</f>
        <v>-6.2007351906311214</v>
      </c>
      <c r="AP17" s="327">
        <f>-('Balance Sheet'!AP10-'Balance Sheet'!AO10)</f>
        <v>-6.2627425425374668</v>
      </c>
      <c r="AQ17" s="328">
        <f t="shared" si="22"/>
        <v>-24.681375716864977</v>
      </c>
      <c r="AR17" s="327">
        <f>-('Balance Sheet'!AR10-'Balance Sheet'!AP10)</f>
        <v>-6.3253699679628426</v>
      </c>
      <c r="AS17" s="327">
        <f>-('Balance Sheet'!AS10-'Balance Sheet'!AR10)</f>
        <v>-6.3886236676424915</v>
      </c>
      <c r="AT17" s="327">
        <f>-('Balance Sheet'!AT10-'Balance Sheet'!AS10)</f>
        <v>-6.4525099043189584</v>
      </c>
      <c r="AU17" s="327">
        <f>-('Balance Sheet'!AU10-'Balance Sheet'!AT10)</f>
        <v>-6.5170350033621389</v>
      </c>
      <c r="AV17" s="328">
        <f t="shared" si="23"/>
        <v>-25.683538543286431</v>
      </c>
    </row>
    <row r="18" spans="2:48" outlineLevel="1" x14ac:dyDescent="0.3">
      <c r="B18" s="474" t="s">
        <v>229</v>
      </c>
      <c r="C18" s="475"/>
      <c r="D18" s="327">
        <v>-21.3</v>
      </c>
      <c r="E18" s="327">
        <f>-83.4-D18</f>
        <v>-62.100000000000009</v>
      </c>
      <c r="F18" s="327">
        <f>-15.1-E18-D18</f>
        <v>68.300000000000011</v>
      </c>
      <c r="G18" s="327">
        <f>31.9-F18-E18-D18</f>
        <v>47</v>
      </c>
      <c r="H18" s="328">
        <f t="shared" si="15"/>
        <v>31.900000000000006</v>
      </c>
      <c r="I18" s="327">
        <v>-110.3</v>
      </c>
      <c r="J18" s="327">
        <f>-186.4-I18</f>
        <v>-76.100000000000009</v>
      </c>
      <c r="K18" s="327">
        <f>-320.3-J18-I18</f>
        <v>-133.89999999999998</v>
      </c>
      <c r="L18" s="327">
        <f>-210.8-K18-J18-I18</f>
        <v>109.49999999999997</v>
      </c>
      <c r="M18" s="328">
        <f t="shared" si="16"/>
        <v>-210.79999999999998</v>
      </c>
      <c r="N18" s="327">
        <v>24.8</v>
      </c>
      <c r="O18" s="327">
        <f>21.3-N18</f>
        <v>-3.5</v>
      </c>
      <c r="P18" s="327">
        <f>108.2-O18-N18</f>
        <v>86.9</v>
      </c>
      <c r="Q18" s="327">
        <f>189.9-P18-O18-N18</f>
        <v>81.7</v>
      </c>
      <c r="R18" s="328">
        <f t="shared" si="17"/>
        <v>189.9</v>
      </c>
      <c r="S18" s="327">
        <v>84</v>
      </c>
      <c r="T18" s="327">
        <f>133-S18</f>
        <v>49</v>
      </c>
      <c r="U18" s="327">
        <f>341.7-T18-S18</f>
        <v>208.7</v>
      </c>
      <c r="V18" s="327">
        <f>'Balance Sheet'!V22-'Balance Sheet'!U22</f>
        <v>-111.74786545579241</v>
      </c>
      <c r="W18" s="328">
        <f t="shared" si="18"/>
        <v>229.95213454420758</v>
      </c>
      <c r="X18" s="327">
        <f>'Balance Sheet'!X22-'Balance Sheet'!V22</f>
        <v>25.014764896827273</v>
      </c>
      <c r="Y18" s="327">
        <f>'Balance Sheet'!Y22-'Balance Sheet'!X22</f>
        <v>-3.8333167508994848</v>
      </c>
      <c r="Z18" s="327">
        <f>'Balance Sheet'!Z22-'Balance Sheet'!Y22</f>
        <v>229.9983367940149</v>
      </c>
      <c r="AA18" s="327">
        <f>'Balance Sheet'!AA22-'Balance Sheet'!Z22</f>
        <v>-149.27702804219052</v>
      </c>
      <c r="AB18" s="328">
        <f t="shared" si="19"/>
        <v>101.90275689775217</v>
      </c>
      <c r="AC18" s="327">
        <f>'Balance Sheet'!AC22-'Balance Sheet'!AA22</f>
        <v>57.225010547429974</v>
      </c>
      <c r="AD18" s="327">
        <f>'Balance Sheet'!AD22-'Balance Sheet'!AC22</f>
        <v>-12.37999998613077</v>
      </c>
      <c r="AE18" s="327">
        <f>'Balance Sheet'!AE22-'Balance Sheet'!AD22</f>
        <v>222.96911897695077</v>
      </c>
      <c r="AF18" s="327">
        <f>'Balance Sheet'!AF22-'Balance Sheet'!AE22</f>
        <v>-88.53075887466548</v>
      </c>
      <c r="AG18" s="328">
        <f t="shared" si="20"/>
        <v>179.28337066358449</v>
      </c>
      <c r="AH18" s="327">
        <f>'Balance Sheet'!AH22-'Balance Sheet'!AF22</f>
        <v>38.950283760349294</v>
      </c>
      <c r="AI18" s="327">
        <f>'Balance Sheet'!AI22-'Balance Sheet'!AH22</f>
        <v>-5.4392831069490057</v>
      </c>
      <c r="AJ18" s="327">
        <f>'Balance Sheet'!AJ22-'Balance Sheet'!AI22</f>
        <v>269.01658275997056</v>
      </c>
      <c r="AK18" s="327">
        <f>'Balance Sheet'!AK22-'Balance Sheet'!AJ22</f>
        <v>-101.90883775548923</v>
      </c>
      <c r="AL18" s="328">
        <f t="shared" si="21"/>
        <v>200.61874565788162</v>
      </c>
      <c r="AM18" s="327">
        <f>'Balance Sheet'!AM22-'Balance Sheet'!AK22</f>
        <v>1.184687747842645</v>
      </c>
      <c r="AN18" s="327">
        <f>'Balance Sheet'!AN22-'Balance Sheet'!AM22</f>
        <v>-27.005475101480897</v>
      </c>
      <c r="AO18" s="327">
        <f>'Balance Sheet'!AO22-'Balance Sheet'!AN22</f>
        <v>281.69606376357956</v>
      </c>
      <c r="AP18" s="327">
        <f>'Balance Sheet'!AP22-'Balance Sheet'!AO22</f>
        <v>-109.52634139320548</v>
      </c>
      <c r="AQ18" s="328">
        <f t="shared" si="22"/>
        <v>146.34893501673582</v>
      </c>
      <c r="AR18" s="327">
        <f>'Balance Sheet'!AR22-'Balance Sheet'!AP22</f>
        <v>-22.287725200280875</v>
      </c>
      <c r="AS18" s="327">
        <f>'Balance Sheet'!AS22-'Balance Sheet'!AR22</f>
        <v>-28.751378274335366</v>
      </c>
      <c r="AT18" s="327">
        <f>'Balance Sheet'!AT22-'Balance Sheet'!AS22</f>
        <v>290.11838658660486</v>
      </c>
      <c r="AU18" s="327">
        <f>'Balance Sheet'!AU22-'Balance Sheet'!AT22</f>
        <v>-111.54097907464939</v>
      </c>
      <c r="AV18" s="328">
        <f t="shared" si="23"/>
        <v>127.53830403733923</v>
      </c>
    </row>
    <row r="19" spans="2:48" outlineLevel="1" x14ac:dyDescent="0.3">
      <c r="B19" s="325" t="s">
        <v>234</v>
      </c>
      <c r="C19" s="326"/>
      <c r="D19" s="327">
        <v>362.7</v>
      </c>
      <c r="E19" s="327">
        <f>9.4-D19</f>
        <v>-353.3</v>
      </c>
      <c r="F19" s="327">
        <f>-32.4-E19-D19</f>
        <v>-41.799999999999955</v>
      </c>
      <c r="G19" s="327">
        <f>-30.5-F19-E19-D19</f>
        <v>1.8999999999999773</v>
      </c>
      <c r="H19" s="328">
        <f t="shared" si="15"/>
        <v>-30.5</v>
      </c>
      <c r="I19" s="327">
        <v>426.7</v>
      </c>
      <c r="J19" s="327">
        <f>112.1-I19</f>
        <v>-314.60000000000002</v>
      </c>
      <c r="K19" s="327">
        <f>92-J19-I19</f>
        <v>-20.099999999999966</v>
      </c>
      <c r="L19" s="327">
        <f>31-K19-J19-I19</f>
        <v>-61</v>
      </c>
      <c r="M19" s="328">
        <f t="shared" si="16"/>
        <v>31</v>
      </c>
      <c r="N19" s="327">
        <v>398.9</v>
      </c>
      <c r="O19" s="327">
        <f>89.8-N19</f>
        <v>-309.09999999999997</v>
      </c>
      <c r="P19" s="327">
        <f>52.4-O19-N19</f>
        <v>-37.400000000000034</v>
      </c>
      <c r="Q19" s="327">
        <f>-6.1-P19-O19-N19</f>
        <v>-58.5</v>
      </c>
      <c r="R19" s="328">
        <f t="shared" si="17"/>
        <v>-6.1000000000000227</v>
      </c>
      <c r="S19" s="327">
        <v>461.3</v>
      </c>
      <c r="T19" s="327">
        <f>110.2-S19</f>
        <v>-351.1</v>
      </c>
      <c r="U19" s="327">
        <f>32.7-T19-S19</f>
        <v>-77.5</v>
      </c>
      <c r="V19" s="327">
        <f>+('Balance Sheet'!V27-'Balance Sheet'!U27)</f>
        <v>-17.230000000000018</v>
      </c>
      <c r="W19" s="328">
        <f t="shared" si="18"/>
        <v>15.46999999999997</v>
      </c>
      <c r="X19" s="327">
        <f>+('Balance Sheet'!X27-'Balance Sheet'!V27)</f>
        <v>511.73100000000022</v>
      </c>
      <c r="Y19" s="327">
        <f>+('Balance Sheet'!Y27-'Balance Sheet'!X27)</f>
        <v>-332.62515000000008</v>
      </c>
      <c r="Z19" s="327">
        <f>+('Balance Sheet'!Z27-'Balance Sheet'!Y27)</f>
        <v>-18.848758500000031</v>
      </c>
      <c r="AA19" s="327">
        <f>+('Balance Sheet'!AA27-'Balance Sheet'!Z27)</f>
        <v>-18.660270914999955</v>
      </c>
      <c r="AB19" s="328">
        <f t="shared" si="19"/>
        <v>141.59682058500016</v>
      </c>
      <c r="AC19" s="327">
        <f>+('Balance Sheet'!AC27-'Balance Sheet'!AA27)</f>
        <v>554.21004617550011</v>
      </c>
      <c r="AD19" s="327">
        <f>+('Balance Sheet'!AD27-'Balance Sheet'!AC27)</f>
        <v>-360.23653001407502</v>
      </c>
      <c r="AE19" s="327">
        <f>+('Balance Sheet'!AE27-'Balance Sheet'!AD27)</f>
        <v>-20.413403367464298</v>
      </c>
      <c r="AF19" s="327">
        <f>+('Balance Sheet'!AF27-'Balance Sheet'!AE27)</f>
        <v>-20.209269333789734</v>
      </c>
      <c r="AG19" s="328">
        <f t="shared" si="20"/>
        <v>153.35084346017106</v>
      </c>
      <c r="AH19" s="327">
        <f>+('Balance Sheet'!AH27-'Balance Sheet'!AF27)</f>
        <v>600.21529921355159</v>
      </c>
      <c r="AI19" s="327">
        <f>+('Balance Sheet'!AI27-'Balance Sheet'!AH27)</f>
        <v>-390.1399444888084</v>
      </c>
      <c r="AJ19" s="327">
        <f>+('Balance Sheet'!AJ27-'Balance Sheet'!AI27)</f>
        <v>-22.107930187699367</v>
      </c>
      <c r="AK19" s="327">
        <f>+('Balance Sheet'!AK27-'Balance Sheet'!AJ27)</f>
        <v>-21.886850885822241</v>
      </c>
      <c r="AL19" s="328">
        <f t="shared" si="21"/>
        <v>166.08057365122158</v>
      </c>
      <c r="AM19" s="327">
        <f>+('Balance Sheet'!AM27-'Balance Sheet'!AK27)</f>
        <v>650.03947130891811</v>
      </c>
      <c r="AN19" s="327">
        <f>+('Balance Sheet'!AN27-'Balance Sheet'!AM27)</f>
        <v>-422.52565635079691</v>
      </c>
      <c r="AO19" s="327">
        <f>+('Balance Sheet'!AO27-'Balance Sheet'!AN27)</f>
        <v>-23.943120526545044</v>
      </c>
      <c r="AP19" s="327">
        <f>+('Balance Sheet'!AP27-'Balance Sheet'!AO27)</f>
        <v>-23.703689321279853</v>
      </c>
      <c r="AQ19" s="328">
        <f t="shared" si="22"/>
        <v>179.8670051102963</v>
      </c>
      <c r="AR19" s="327">
        <f>+('Balance Sheet'!AR27-'Balance Sheet'!AP27)</f>
        <v>703.99957284200673</v>
      </c>
      <c r="AS19" s="327">
        <f>+('Balance Sheet'!AS27-'Balance Sheet'!AR27)</f>
        <v>-457.59972234730458</v>
      </c>
      <c r="AT19" s="327">
        <f>+('Balance Sheet'!AT27-'Balance Sheet'!AS27)</f>
        <v>-25.930650933014022</v>
      </c>
      <c r="AU19" s="327">
        <f>+('Balance Sheet'!AU27-'Balance Sheet'!AT27)</f>
        <v>-25.671344423683877</v>
      </c>
      <c r="AV19" s="328">
        <f t="shared" si="23"/>
        <v>194.79785513800425</v>
      </c>
    </row>
    <row r="20" spans="2:48" outlineLevel="1" x14ac:dyDescent="0.3">
      <c r="B20" s="325" t="s">
        <v>279</v>
      </c>
      <c r="C20" s="326"/>
      <c r="D20" s="327">
        <v>0</v>
      </c>
      <c r="E20" s="327">
        <v>0</v>
      </c>
      <c r="F20" s="327">
        <f>1045.4-E20-D20</f>
        <v>1045.4000000000001</v>
      </c>
      <c r="G20" s="327">
        <f>1237-F20-E20-D20</f>
        <v>191.59999999999991</v>
      </c>
      <c r="H20" s="328">
        <f t="shared" si="15"/>
        <v>1237</v>
      </c>
      <c r="I20" s="327">
        <v>125.1</v>
      </c>
      <c r="J20" s="327">
        <f>-1227.4-I20</f>
        <v>-1352.5</v>
      </c>
      <c r="K20" s="327">
        <f>-1224.5-J20-I20</f>
        <v>2.9000000000000057</v>
      </c>
      <c r="L20" s="327">
        <f>-1214.6-K20-J20-I20</f>
        <v>9.9000000000000057</v>
      </c>
      <c r="M20" s="328">
        <f t="shared" si="16"/>
        <v>-1214.5999999999999</v>
      </c>
      <c r="N20" s="327">
        <v>56.9</v>
      </c>
      <c r="O20" s="327">
        <f>40-N20</f>
        <v>-16.899999999999999</v>
      </c>
      <c r="P20" s="327">
        <f>128.9-O20-N20</f>
        <v>88.9</v>
      </c>
      <c r="Q20" s="327">
        <f>286.1-P20-O20-N20</f>
        <v>157.20000000000002</v>
      </c>
      <c r="R20" s="328">
        <f t="shared" si="17"/>
        <v>286.10000000000002</v>
      </c>
      <c r="S20" s="327">
        <v>0</v>
      </c>
      <c r="T20" s="327">
        <f>0-S20</f>
        <v>0</v>
      </c>
      <c r="U20" s="327">
        <f t="shared" si="24"/>
        <v>0</v>
      </c>
      <c r="V20" s="327">
        <f>+('Balance Sheet'!V25-'Balance Sheet'!U25)</f>
        <v>0</v>
      </c>
      <c r="W20" s="328">
        <f t="shared" si="18"/>
        <v>0</v>
      </c>
      <c r="X20" s="327">
        <f>+('Balance Sheet'!X25-'Balance Sheet'!V25)</f>
        <v>0</v>
      </c>
      <c r="Y20" s="327">
        <f>+('Balance Sheet'!Y25-'Balance Sheet'!X25)</f>
        <v>0</v>
      </c>
      <c r="Z20" s="327">
        <f>+('Balance Sheet'!Z25-'Balance Sheet'!Y25)</f>
        <v>0</v>
      </c>
      <c r="AA20" s="327">
        <f>+('Balance Sheet'!AA25-'Balance Sheet'!Z25)</f>
        <v>0</v>
      </c>
      <c r="AB20" s="328">
        <f t="shared" si="19"/>
        <v>0</v>
      </c>
      <c r="AC20" s="327">
        <f>+('Balance Sheet'!AC25-'Balance Sheet'!AA25)</f>
        <v>0</v>
      </c>
      <c r="AD20" s="327">
        <f>+('Balance Sheet'!AD25-'Balance Sheet'!AC25)</f>
        <v>0</v>
      </c>
      <c r="AE20" s="327">
        <f>+('Balance Sheet'!AE25-'Balance Sheet'!AD25)</f>
        <v>0</v>
      </c>
      <c r="AF20" s="327">
        <f>+('Balance Sheet'!AF25-'Balance Sheet'!AE25)</f>
        <v>0</v>
      </c>
      <c r="AG20" s="328">
        <f t="shared" si="20"/>
        <v>0</v>
      </c>
      <c r="AH20" s="327">
        <f>+('Balance Sheet'!AH25-'Balance Sheet'!AF25)</f>
        <v>0</v>
      </c>
      <c r="AI20" s="327">
        <f>+('Balance Sheet'!AI25-'Balance Sheet'!AH25)</f>
        <v>0</v>
      </c>
      <c r="AJ20" s="327">
        <f>+('Balance Sheet'!AJ25-'Balance Sheet'!AI25)</f>
        <v>0</v>
      </c>
      <c r="AK20" s="327">
        <f>+('Balance Sheet'!AK25-'Balance Sheet'!AJ25)</f>
        <v>0</v>
      </c>
      <c r="AL20" s="328">
        <f t="shared" si="21"/>
        <v>0</v>
      </c>
      <c r="AM20" s="327">
        <f>+('Balance Sheet'!AM25-'Balance Sheet'!AK25)</f>
        <v>0</v>
      </c>
      <c r="AN20" s="327">
        <f>+('Balance Sheet'!AN25-'Balance Sheet'!AM25)</f>
        <v>0</v>
      </c>
      <c r="AO20" s="327">
        <f>+('Balance Sheet'!AO25-'Balance Sheet'!AN25)</f>
        <v>0</v>
      </c>
      <c r="AP20" s="327">
        <f>+('Balance Sheet'!AP25-'Balance Sheet'!AO25)</f>
        <v>0</v>
      </c>
      <c r="AQ20" s="328">
        <f t="shared" si="22"/>
        <v>0</v>
      </c>
      <c r="AR20" s="327">
        <f>+('Balance Sheet'!AR25-'Balance Sheet'!AP25)</f>
        <v>0</v>
      </c>
      <c r="AS20" s="327">
        <f>+('Balance Sheet'!AS25-'Balance Sheet'!AR25)</f>
        <v>0</v>
      </c>
      <c r="AT20" s="327">
        <f>+('Balance Sheet'!AT25-'Balance Sheet'!AS25)</f>
        <v>0</v>
      </c>
      <c r="AU20" s="327">
        <f>+('Balance Sheet'!AU25-'Balance Sheet'!AT25)</f>
        <v>0</v>
      </c>
      <c r="AV20" s="328">
        <f t="shared" si="23"/>
        <v>0</v>
      </c>
    </row>
    <row r="21" spans="2:48" ht="16.2" outlineLevel="1" x14ac:dyDescent="0.45">
      <c r="B21" s="474" t="s">
        <v>280</v>
      </c>
      <c r="C21" s="475"/>
      <c r="D21" s="329">
        <v>305.60000000000002</v>
      </c>
      <c r="E21" s="329">
        <f>429.3-D21</f>
        <v>123.69999999999999</v>
      </c>
      <c r="F21" s="329">
        <f>-67.4-E21-D21</f>
        <v>-496.70000000000005</v>
      </c>
      <c r="G21" s="329">
        <f>-141.1-F21-E21-D21</f>
        <v>-73.699999999999989</v>
      </c>
      <c r="H21" s="330">
        <f t="shared" si="15"/>
        <v>-141.10000000000002</v>
      </c>
      <c r="I21" s="329">
        <f>-31.8-301.6</f>
        <v>-333.40000000000003</v>
      </c>
      <c r="J21" s="329">
        <f>-608.6-140.5-I21</f>
        <v>-415.7</v>
      </c>
      <c r="K21" s="329">
        <f>-918.2+70.5-J21-I21</f>
        <v>-98.600000000000023</v>
      </c>
      <c r="L21" s="329">
        <f>-1231.4+280.5-K21-J21-I21</f>
        <v>-103.20000000000005</v>
      </c>
      <c r="M21" s="330">
        <f t="shared" si="16"/>
        <v>-950.90000000000009</v>
      </c>
      <c r="N21" s="329">
        <f>-314.8+12.3</f>
        <v>-302.5</v>
      </c>
      <c r="O21" s="329">
        <f>-676.3+59.5-N21</f>
        <v>-314.29999999999995</v>
      </c>
      <c r="P21" s="329">
        <f>-1029.8+154.6-O21-N21</f>
        <v>-258.39999999999998</v>
      </c>
      <c r="Q21" s="329">
        <f>-1488.1+358.7-P21-O21-N21</f>
        <v>-254.19999999999993</v>
      </c>
      <c r="R21" s="330">
        <f t="shared" si="17"/>
        <v>-1129.3999999999999</v>
      </c>
      <c r="S21" s="329">
        <f>-363.3+79.4</f>
        <v>-283.89999999999998</v>
      </c>
      <c r="T21" s="329">
        <f>-766.3-95-S21</f>
        <v>-577.4</v>
      </c>
      <c r="U21" s="329">
        <f>-1201.4+5.8-T21-S21</f>
        <v>-334.30000000000018</v>
      </c>
      <c r="V21" s="329">
        <f>('Balance Sheet'!V23-'Balance Sheet'!U23)+('Balance Sheet'!V33-'Balance Sheet'!U33)+('Balance Sheet'!V34-'Balance Sheet'!U34)+('Balance Sheet'!V26-'Balance Sheet'!U26)+('Balance Sheet'!V24-'Balance Sheet'!U24)</f>
        <v>-36.524700000000166</v>
      </c>
      <c r="W21" s="330">
        <f t="shared" si="18"/>
        <v>-1232.1247000000003</v>
      </c>
      <c r="X21" s="329">
        <f>('Balance Sheet'!X23-'Balance Sheet'!V23)+('Balance Sheet'!X33-'Balance Sheet'!V33)+('Balance Sheet'!X34-'Balance Sheet'!V34)+('Balance Sheet'!X26-'Balance Sheet'!V26)+('Balance Sheet'!X24-'Balance Sheet'!V24)</f>
        <v>-36.346935699999904</v>
      </c>
      <c r="Y21" s="329">
        <f>('Balance Sheet'!Y23-'Balance Sheet'!X23)+('Balance Sheet'!Y33-'Balance Sheet'!X33)+('Balance Sheet'!Y34-'Balance Sheet'!X34)+('Balance Sheet'!Y26-'Balance Sheet'!X26)+('Balance Sheet'!Y24-'Balance Sheet'!X24)</f>
        <v>-36.170040784700177</v>
      </c>
      <c r="Z21" s="329">
        <f>('Balance Sheet'!Z23-'Balance Sheet'!Y23)+('Balance Sheet'!Z33-'Balance Sheet'!Y33)+('Balance Sheet'!Z34-'Balance Sheet'!Y34)+('Balance Sheet'!Z26-'Balance Sheet'!Y26)+('Balance Sheet'!Z24-'Balance Sheet'!Y24)</f>
        <v>-35.994010984923307</v>
      </c>
      <c r="AA21" s="329">
        <f>('Balance Sheet'!AA23-'Balance Sheet'!Z23)+('Balance Sheet'!AA33-'Balance Sheet'!Z33)+('Balance Sheet'!AA34-'Balance Sheet'!Z34)+('Balance Sheet'!AA26-'Balance Sheet'!Z26)+('Balance Sheet'!AA24-'Balance Sheet'!Z24)</f>
        <v>-35.81884205252959</v>
      </c>
      <c r="AB21" s="330">
        <f t="shared" si="19"/>
        <v>-144.32982952215298</v>
      </c>
      <c r="AC21" s="329">
        <f>('Balance Sheet'!AC23-'Balance Sheet'!AA23)+('Balance Sheet'!AC33-'Balance Sheet'!AA33)+('Balance Sheet'!AC34-'Balance Sheet'!AA34)+('Balance Sheet'!AC26-'Balance Sheet'!AA26)+('Balance Sheet'!AC24-'Balance Sheet'!AA24)</f>
        <v>-35.644529760307478</v>
      </c>
      <c r="AD21" s="329">
        <f>('Balance Sheet'!AD23-'Balance Sheet'!AC23)+('Balance Sheet'!AD33-'Balance Sheet'!AC33)+('Balance Sheet'!AD34-'Balance Sheet'!AC34)+('Balance Sheet'!AD26-'Balance Sheet'!AC26)+('Balance Sheet'!AD24-'Balance Sheet'!AC24)</f>
        <v>-35.471069901874444</v>
      </c>
      <c r="AE21" s="329">
        <f>('Balance Sheet'!AE23-'Balance Sheet'!AD23)+('Balance Sheet'!AE33-'Balance Sheet'!AD33)+('Balance Sheet'!AE34-'Balance Sheet'!AD34)+('Balance Sheet'!AE26-'Balance Sheet'!AD26)+('Balance Sheet'!AE24-'Balance Sheet'!AD24)</f>
        <v>-35.298458291571478</v>
      </c>
      <c r="AF21" s="329">
        <f>('Balance Sheet'!AF23-'Balance Sheet'!AE23)+('Balance Sheet'!AF33-'Balance Sheet'!AE33)+('Balance Sheet'!AF34-'Balance Sheet'!AE34)+('Balance Sheet'!AF26-'Balance Sheet'!AE26)+('Balance Sheet'!AF24-'Balance Sheet'!AE24)</f>
        <v>-35.126690764364412</v>
      </c>
      <c r="AG21" s="330">
        <f t="shared" si="20"/>
        <v>-141.54074871811781</v>
      </c>
      <c r="AH21" s="329">
        <f>('Balance Sheet'!AH23-'Balance Sheet'!AF23)+('Balance Sheet'!AH33-'Balance Sheet'!AF33)+('Balance Sheet'!AH34-'Balance Sheet'!AF34)+('Balance Sheet'!AH26-'Balance Sheet'!AF26)+('Balance Sheet'!AH24-'Balance Sheet'!AF24)</f>
        <v>-34.955763175734774</v>
      </c>
      <c r="AI21" s="329">
        <f>('Balance Sheet'!AI23-'Balance Sheet'!AH23)+('Balance Sheet'!AI33-'Balance Sheet'!AH33)+('Balance Sheet'!AI34-'Balance Sheet'!AH34)+('Balance Sheet'!AI26-'Balance Sheet'!AH26)+('Balance Sheet'!AI24-'Balance Sheet'!AH24)</f>
        <v>-34.785671401588388</v>
      </c>
      <c r="AJ21" s="329">
        <f>('Balance Sheet'!AJ23-'Balance Sheet'!AI23)+('Balance Sheet'!AJ33-'Balance Sheet'!AI33)+('Balance Sheet'!AJ34-'Balance Sheet'!AI34)+('Balance Sheet'!AJ26-'Balance Sheet'!AI26)+('Balance Sheet'!AJ24-'Balance Sheet'!AI24)</f>
        <v>-34.616411338146236</v>
      </c>
      <c r="AK21" s="329">
        <f>('Balance Sheet'!AK23-'Balance Sheet'!AJ23)+('Balance Sheet'!AK33-'Balance Sheet'!AJ33)+('Balance Sheet'!AK34-'Balance Sheet'!AJ34)+('Balance Sheet'!AK26-'Balance Sheet'!AJ26)+('Balance Sheet'!AK24-'Balance Sheet'!AJ24)</f>
        <v>-34.447978901846909</v>
      </c>
      <c r="AL21" s="330">
        <f t="shared" si="21"/>
        <v>-138.80582481731631</v>
      </c>
      <c r="AM21" s="329">
        <f>('Balance Sheet'!AM23-'Balance Sheet'!AK23)+('Balance Sheet'!AM33-'Balance Sheet'!AK33)+('Balance Sheet'!AM34-'Balance Sheet'!AK34)+('Balance Sheet'!AM26-'Balance Sheet'!AK26)+('Balance Sheet'!AM24-'Balance Sheet'!AK24)</f>
        <v>-34.280370029247024</v>
      </c>
      <c r="AN21" s="329">
        <f>('Balance Sheet'!AN23-'Balance Sheet'!AM23)+('Balance Sheet'!AN33-'Balance Sheet'!AM33)+('Balance Sheet'!AN34-'Balance Sheet'!AM34)+('Balance Sheet'!AN26-'Balance Sheet'!AM26)+('Balance Sheet'!AN24-'Balance Sheet'!AM24)</f>
        <v>-34.113580676922538</v>
      </c>
      <c r="AO21" s="329">
        <f>('Balance Sheet'!AO23-'Balance Sheet'!AN23)+('Balance Sheet'!AO33-'Balance Sheet'!AN33)+('Balance Sheet'!AO34-'Balance Sheet'!AN34)+('Balance Sheet'!AO26-'Balance Sheet'!AN26)+('Balance Sheet'!AO24-'Balance Sheet'!AN24)</f>
        <v>-33.947606821368026</v>
      </c>
      <c r="AP21" s="329">
        <f>('Balance Sheet'!AP23-'Balance Sheet'!AO23)+('Balance Sheet'!AP33-'Balance Sheet'!AO33)+('Balance Sheet'!AP34-'Balance Sheet'!AO34)+('Balance Sheet'!AP26-'Balance Sheet'!AO26)+('Balance Sheet'!AP24-'Balance Sheet'!AO24)</f>
        <v>-33.7824444589005</v>
      </c>
      <c r="AQ21" s="330">
        <f t="shared" si="22"/>
        <v>-136.12400198643809</v>
      </c>
      <c r="AR21" s="329">
        <f>('Balance Sheet'!AR23-'Balance Sheet'!AP23)+('Balance Sheet'!AR33-'Balance Sheet'!AP33)+('Balance Sheet'!AR34-'Balance Sheet'!AP34)+('Balance Sheet'!AR26-'Balance Sheet'!AP26)+('Balance Sheet'!AR24-'Balance Sheet'!AP24)</f>
        <v>-33.618089605559135</v>
      </c>
      <c r="AS21" s="329">
        <f>('Balance Sheet'!AS23-'Balance Sheet'!AR23)+('Balance Sheet'!AS33-'Balance Sheet'!AR33)+('Balance Sheet'!AS34-'Balance Sheet'!AR34)+('Balance Sheet'!AS26-'Balance Sheet'!AR26)+('Balance Sheet'!AS24-'Balance Sheet'!AR24)</f>
        <v>-33.454538297008185</v>
      </c>
      <c r="AT21" s="329">
        <f>('Balance Sheet'!AT23-'Balance Sheet'!AS23)+('Balance Sheet'!AT33-'Balance Sheet'!AS33)+('Balance Sheet'!AT34-'Balance Sheet'!AS34)+('Balance Sheet'!AT26-'Balance Sheet'!AS26)+('Balance Sheet'!AT24-'Balance Sheet'!AS24)</f>
        <v>-33.291786588442392</v>
      </c>
      <c r="AU21" s="329">
        <f>('Balance Sheet'!AU23-'Balance Sheet'!AT23)+('Balance Sheet'!AU33-'Balance Sheet'!AT33)+('Balance Sheet'!AU34-'Balance Sheet'!AT34)+('Balance Sheet'!AU26-'Balance Sheet'!AT26)+('Balance Sheet'!AU24-'Balance Sheet'!AT24)</f>
        <v>-33.129830554487398</v>
      </c>
      <c r="AV21" s="330">
        <f t="shared" si="23"/>
        <v>-133.49424504549711</v>
      </c>
    </row>
    <row r="22" spans="2:48" outlineLevel="1" x14ac:dyDescent="0.3">
      <c r="B22" s="478" t="s">
        <v>281</v>
      </c>
      <c r="C22" s="479"/>
      <c r="D22" s="331">
        <f t="shared" ref="D22:AV22" si="25">D6+SUM(D7:D21)</f>
        <v>2379.0000000000005</v>
      </c>
      <c r="E22" s="331">
        <f t="shared" si="25"/>
        <v>390.39999999999969</v>
      </c>
      <c r="F22" s="331">
        <f t="shared" si="25"/>
        <v>1169.400000000001</v>
      </c>
      <c r="G22" s="331">
        <f t="shared" si="25"/>
        <v>1108.1000000000008</v>
      </c>
      <c r="H22" s="332">
        <f t="shared" si="25"/>
        <v>5046.9000000000051</v>
      </c>
      <c r="I22" s="331">
        <f t="shared" si="25"/>
        <v>1836.0999999999985</v>
      </c>
      <c r="J22" s="331">
        <f t="shared" si="25"/>
        <v>-1361.3000000000009</v>
      </c>
      <c r="K22" s="331">
        <f t="shared" si="25"/>
        <v>-367.69999999999925</v>
      </c>
      <c r="L22" s="331">
        <f t="shared" si="25"/>
        <v>1490.7000000000014</v>
      </c>
      <c r="M22" s="332">
        <f t="shared" si="25"/>
        <v>1597.8000000000043</v>
      </c>
      <c r="N22" s="331">
        <f t="shared" si="25"/>
        <v>1835.7000000000003</v>
      </c>
      <c r="O22" s="331">
        <f t="shared" si="25"/>
        <v>883.80000000000018</v>
      </c>
      <c r="P22" s="331">
        <f t="shared" si="25"/>
        <v>1748.9999999999991</v>
      </c>
      <c r="Q22" s="331">
        <f t="shared" si="25"/>
        <v>1520.6999999999996</v>
      </c>
      <c r="R22" s="332">
        <f t="shared" si="25"/>
        <v>5989.199999999998</v>
      </c>
      <c r="S22" s="331">
        <f t="shared" si="25"/>
        <v>1870.8999999999999</v>
      </c>
      <c r="T22" s="331">
        <f t="shared" si="25"/>
        <v>161.9000000000002</v>
      </c>
      <c r="U22" s="331">
        <f t="shared" si="25"/>
        <v>1264.7999999999993</v>
      </c>
      <c r="V22" s="331">
        <f t="shared" si="25"/>
        <v>1337.2390938203303</v>
      </c>
      <c r="W22" s="332">
        <f>W6+SUM(W7:W21)</f>
        <v>4634.8390938203302</v>
      </c>
      <c r="X22" s="331">
        <f t="shared" si="25"/>
        <v>1680.9752258233507</v>
      </c>
      <c r="Y22" s="331">
        <f t="shared" si="25"/>
        <v>715.61234575877268</v>
      </c>
      <c r="Z22" s="331">
        <f t="shared" si="25"/>
        <v>1075.0034481742098</v>
      </c>
      <c r="AA22" s="331">
        <f t="shared" si="25"/>
        <v>1946.1761553741014</v>
      </c>
      <c r="AB22" s="332">
        <f t="shared" si="25"/>
        <v>5417.7671751304351</v>
      </c>
      <c r="AC22" s="331">
        <f t="shared" si="25"/>
        <v>2096.0396741235641</v>
      </c>
      <c r="AD22" s="331">
        <f t="shared" si="25"/>
        <v>984.18292262234183</v>
      </c>
      <c r="AE22" s="331">
        <f t="shared" si="25"/>
        <v>1447.0905589101023</v>
      </c>
      <c r="AF22" s="331">
        <f t="shared" si="25"/>
        <v>1898.0343018849289</v>
      </c>
      <c r="AG22" s="332">
        <f t="shared" si="25"/>
        <v>6425.3474575409364</v>
      </c>
      <c r="AH22" s="331">
        <f t="shared" si="25"/>
        <v>2315.1856259510178</v>
      </c>
      <c r="AI22" s="331">
        <f t="shared" si="25"/>
        <v>1123.8103766267191</v>
      </c>
      <c r="AJ22" s="331">
        <f t="shared" si="25"/>
        <v>1622.8861318649228</v>
      </c>
      <c r="AK22" s="331">
        <f t="shared" si="25"/>
        <v>2200.836533070601</v>
      </c>
      <c r="AL22" s="332">
        <f t="shared" si="25"/>
        <v>7262.7186675132607</v>
      </c>
      <c r="AM22" s="331">
        <f t="shared" si="25"/>
        <v>2581.2359385801456</v>
      </c>
      <c r="AN22" s="331">
        <f t="shared" si="25"/>
        <v>1224.2891845679426</v>
      </c>
      <c r="AO22" s="331">
        <f t="shared" si="25"/>
        <v>1735.0011166059276</v>
      </c>
      <c r="AP22" s="331">
        <f t="shared" si="25"/>
        <v>2420.0190980813932</v>
      </c>
      <c r="AQ22" s="332">
        <f t="shared" si="25"/>
        <v>7960.5453378354086</v>
      </c>
      <c r="AR22" s="331">
        <f t="shared" si="25"/>
        <v>2823.5197244357187</v>
      </c>
      <c r="AS22" s="331">
        <f t="shared" si="25"/>
        <v>1340.0371903558255</v>
      </c>
      <c r="AT22" s="331">
        <f t="shared" si="25"/>
        <v>1920.4019783879162</v>
      </c>
      <c r="AU22" s="331">
        <f t="shared" si="25"/>
        <v>2562.258639021421</v>
      </c>
      <c r="AV22" s="332">
        <f t="shared" si="25"/>
        <v>8646.2175322008825</v>
      </c>
    </row>
    <row r="23" spans="2:48" outlineLevel="1" x14ac:dyDescent="0.3">
      <c r="B23" s="454" t="s">
        <v>282</v>
      </c>
      <c r="C23" s="455"/>
      <c r="D23" s="333"/>
      <c r="E23" s="334"/>
      <c r="F23" s="334"/>
      <c r="G23" s="334"/>
      <c r="H23" s="335"/>
      <c r="I23" s="336"/>
      <c r="J23" s="336"/>
      <c r="K23" s="334"/>
      <c r="L23" s="334"/>
      <c r="M23" s="337"/>
      <c r="N23" s="334"/>
      <c r="O23" s="334"/>
      <c r="P23" s="334"/>
      <c r="Q23" s="334"/>
      <c r="R23" s="337"/>
      <c r="S23" s="334"/>
      <c r="T23" s="334"/>
      <c r="U23" s="334"/>
      <c r="V23" s="334"/>
      <c r="W23" s="337"/>
      <c r="X23" s="334"/>
      <c r="Y23" s="334"/>
      <c r="Z23" s="334"/>
      <c r="AA23" s="334"/>
      <c r="AB23" s="337"/>
      <c r="AC23" s="334"/>
      <c r="AD23" s="334"/>
      <c r="AE23" s="334"/>
      <c r="AF23" s="334"/>
      <c r="AG23" s="337"/>
      <c r="AH23" s="334"/>
      <c r="AI23" s="334"/>
      <c r="AJ23" s="334"/>
      <c r="AK23" s="334"/>
      <c r="AL23" s="337"/>
      <c r="AM23" s="334"/>
      <c r="AN23" s="334"/>
      <c r="AO23" s="334"/>
      <c r="AP23" s="334"/>
      <c r="AQ23" s="337"/>
      <c r="AR23" s="334"/>
      <c r="AS23" s="334"/>
      <c r="AT23" s="334"/>
      <c r="AU23" s="334"/>
      <c r="AV23" s="337"/>
    </row>
    <row r="24" spans="2:48" outlineLevel="1" x14ac:dyDescent="0.3">
      <c r="B24" s="200" t="s">
        <v>283</v>
      </c>
      <c r="C24" s="201"/>
      <c r="D24" s="16">
        <f>-108.7+32.1+14.2</f>
        <v>-62.399999999999991</v>
      </c>
      <c r="E24" s="16">
        <f>-150.2+218.3+55.1-D24</f>
        <v>185.60000000000002</v>
      </c>
      <c r="F24" s="16">
        <f>-176.3+281.7+57.5-E24-D24</f>
        <v>39.699999999999946</v>
      </c>
      <c r="G24" s="16">
        <f>-190.4+298.3+59.8-F24-E24-D24</f>
        <v>4.8000000000000256</v>
      </c>
      <c r="H24" s="17">
        <f>SUM(D24:G24)</f>
        <v>167.7</v>
      </c>
      <c r="I24" s="16">
        <f>-38+64.6+1.3</f>
        <v>27.899999999999995</v>
      </c>
      <c r="J24" s="16">
        <f>-65.1+93.7+4.3-I24</f>
        <v>5.0000000000000107</v>
      </c>
      <c r="K24" s="16">
        <f>-297.4+133.5+10-J24-I24</f>
        <v>-186.79999999999998</v>
      </c>
      <c r="L24" s="16">
        <f>-443.9+186.7+73.7-K24-J24-I24</f>
        <v>-29.600000000000023</v>
      </c>
      <c r="M24" s="17">
        <f>SUM(I24:L24)</f>
        <v>-183.5</v>
      </c>
      <c r="N24" s="16">
        <f>-135.5+91.2+113.7</f>
        <v>69.400000000000006</v>
      </c>
      <c r="O24" s="16">
        <f>-321.7+121.7+289-N24</f>
        <v>19.599999999999994</v>
      </c>
      <c r="P24" s="16">
        <f>-367.3+130.4+298.7-O24-N24</f>
        <v>-27.200000000000017</v>
      </c>
      <c r="Q24" s="16">
        <f>-432+143.2+345.5-P24-O24-N24</f>
        <v>-5.0999999999999943</v>
      </c>
      <c r="R24" s="17">
        <f>SUM(N24:Q24)</f>
        <v>56.699999999999989</v>
      </c>
      <c r="S24" s="16">
        <f>-61+72.6+45.6</f>
        <v>57.199999999999996</v>
      </c>
      <c r="T24" s="16">
        <f>-67.5+72.6+55.7-S24</f>
        <v>3.6000000000000014</v>
      </c>
      <c r="U24" s="16">
        <f>-117.3+72.6+59.5-T24-S24</f>
        <v>-46</v>
      </c>
      <c r="V24" s="16">
        <f>-('Balance Sheet'!V7-'Balance Sheet'!U7)-('Balance Sheet'!V12-'Balance Sheet'!U12)</f>
        <v>-4.1259993581648757</v>
      </c>
      <c r="W24" s="17">
        <f>SUM(S24:V24)</f>
        <v>10.674000641835121</v>
      </c>
      <c r="X24" s="16">
        <f>-('Balance Sheet'!X7-'Balance Sheet'!V7)-('Balance Sheet'!X12-'Balance Sheet'!V12)</f>
        <v>-4.3274850693935321</v>
      </c>
      <c r="Y24" s="16">
        <f>-('Balance Sheet'!Y7-'Balance Sheet'!X7)-('Balance Sheet'!Y12-'Balance Sheet'!X12)</f>
        <v>3.9629849836104825</v>
      </c>
      <c r="Z24" s="16">
        <f>-('Balance Sheet'!Z7-'Balance Sheet'!Y7)-('Balance Sheet'!Z12-'Balance Sheet'!Y12)</f>
        <v>-11.200484529819349</v>
      </c>
      <c r="AA24" s="16">
        <f>-('Balance Sheet'!AA7-'Balance Sheet'!Z7)-('Balance Sheet'!AA12-'Balance Sheet'!Z12)</f>
        <v>-4.2586131396127058</v>
      </c>
      <c r="AB24" s="17">
        <f>SUM(X24:AA24)</f>
        <v>-15.823597755215104</v>
      </c>
      <c r="AC24" s="16">
        <f>-('Balance Sheet'!AC7-'Balance Sheet'!AA7)-('Balance Sheet'!AC12-'Balance Sheet'!AA12)</f>
        <v>-13.793620527275763</v>
      </c>
      <c r="AD24" s="16">
        <f>-('Balance Sheet'!AD7-'Balance Sheet'!AC7)-('Balance Sheet'!AD12-'Balance Sheet'!AC12)</f>
        <v>0.60459004128858851</v>
      </c>
      <c r="AE24" s="16">
        <f>-('Balance Sheet'!AE7-'Balance Sheet'!AD7)-('Balance Sheet'!AE12-'Balance Sheet'!AD12)</f>
        <v>-9.2492870448767377</v>
      </c>
      <c r="AF24" s="16">
        <f>-('Balance Sheet'!AF7-'Balance Sheet'!AE7)-('Balance Sheet'!AF12-'Balance Sheet'!AE12)</f>
        <v>-5.2842195307710114</v>
      </c>
      <c r="AG24" s="17">
        <f>SUM(AC24:AF24)</f>
        <v>-27.722537061634924</v>
      </c>
      <c r="AH24" s="16">
        <f>-('Balance Sheet'!AH7-'Balance Sheet'!AF7)-('Balance Sheet'!AH12-'Balance Sheet'!AF12)</f>
        <v>-16.099219072777217</v>
      </c>
      <c r="AI24" s="16">
        <f>-('Balance Sheet'!AI7-'Balance Sheet'!AH7)-('Balance Sheet'!AI12-'Balance Sheet'!AH12)</f>
        <v>0.14542720808130127</v>
      </c>
      <c r="AJ24" s="16">
        <f>-('Balance Sheet'!AJ7-'Balance Sheet'!AI7)-('Balance Sheet'!AJ12-'Balance Sheet'!AI12)</f>
        <v>-15.112732305197483</v>
      </c>
      <c r="AK24" s="16">
        <f>-('Balance Sheet'!AK7-'Balance Sheet'!AJ7)-('Balance Sheet'!AK12-'Balance Sheet'!AJ12)</f>
        <v>61.064518598499077</v>
      </c>
      <c r="AL24" s="17">
        <f>SUM(AH24:AK24)</f>
        <v>29.997994428605679</v>
      </c>
      <c r="AM24" s="16">
        <f>-('Balance Sheet'!AM7-'Balance Sheet'!AK7)-('Balance Sheet'!AM12-'Balance Sheet'!AK12)</f>
        <v>-15.511347889801613</v>
      </c>
      <c r="AN24" s="16">
        <f>-('Balance Sheet'!AN7-'Balance Sheet'!AM7)-('Balance Sheet'!AN12-'Balance Sheet'!AM12)</f>
        <v>2.2289851837894901</v>
      </c>
      <c r="AO24" s="16">
        <f>-('Balance Sheet'!AO7-'Balance Sheet'!AN7)-('Balance Sheet'!AO12-'Balance Sheet'!AN12)</f>
        <v>-11.722250650789007</v>
      </c>
      <c r="AP24" s="16">
        <f>-('Balance Sheet'!AP7-'Balance Sheet'!AO7)-('Balance Sheet'!AP12-'Balance Sheet'!AO12)</f>
        <v>-5.5824430425501959</v>
      </c>
      <c r="AQ24" s="17">
        <f>SUM(AM24:AP24)</f>
        <v>-30.587056399351326</v>
      </c>
      <c r="AR24" s="16">
        <f>-('Balance Sheet'!AR7-'Balance Sheet'!AP7)-('Balance Sheet'!AR12-'Balance Sheet'!AP12)</f>
        <v>-17.643727490371234</v>
      </c>
      <c r="AS24" s="16">
        <f>-('Balance Sheet'!AS7-'Balance Sheet'!AR7)-('Balance Sheet'!AS12-'Balance Sheet'!AR12)</f>
        <v>1.2150608149971731</v>
      </c>
      <c r="AT24" s="16">
        <f>-('Balance Sheet'!AT7-'Balance Sheet'!AS7)-('Balance Sheet'!AT12-'Balance Sheet'!AS12)</f>
        <v>-13.25502087241577</v>
      </c>
      <c r="AU24" s="16">
        <f>-('Balance Sheet'!AU7-'Balance Sheet'!AT7)-('Balance Sheet'!AU12-'Balance Sheet'!AT12)</f>
        <v>-6.8865534574673717</v>
      </c>
      <c r="AV24" s="17">
        <f>SUM(AR24:AU24)</f>
        <v>-36.570241005257202</v>
      </c>
    </row>
    <row r="25" spans="2:48" outlineLevel="1" x14ac:dyDescent="0.3">
      <c r="B25" s="436" t="s">
        <v>284</v>
      </c>
      <c r="C25" s="437"/>
      <c r="D25" s="16">
        <v>-431.4</v>
      </c>
      <c r="E25" s="16">
        <f>-845.6-D25</f>
        <v>-414.20000000000005</v>
      </c>
      <c r="F25" s="16">
        <f>-1280.7-E25-D25</f>
        <v>-435.1</v>
      </c>
      <c r="G25" s="16">
        <f>-1806.6-F25-E25-D25</f>
        <v>-525.9</v>
      </c>
      <c r="H25" s="169">
        <f>SUM(D25:G25)</f>
        <v>-1806.6</v>
      </c>
      <c r="I25" s="16">
        <v>-394.3</v>
      </c>
      <c r="J25" s="16">
        <f>-758.3-I25</f>
        <v>-363.99999999999994</v>
      </c>
      <c r="K25" s="16">
        <f>-1138.4-J25-I25</f>
        <v>-380.10000000000008</v>
      </c>
      <c r="L25" s="16">
        <f>-1483.6-K25-J25-I25</f>
        <v>-345.19999999999976</v>
      </c>
      <c r="M25" s="169">
        <f>SUM(I25:L25)</f>
        <v>-1483.6</v>
      </c>
      <c r="N25" s="16">
        <v>-324.2</v>
      </c>
      <c r="O25" s="16">
        <f>-647.9-N25</f>
        <v>-323.7</v>
      </c>
      <c r="P25" s="16">
        <f>-985.7-O25-N25</f>
        <v>-337.8</v>
      </c>
      <c r="Q25" s="16">
        <f>-1470-P25-O25-N25</f>
        <v>-484.3</v>
      </c>
      <c r="R25" s="169">
        <f>SUM(N25:Q25)</f>
        <v>-1470</v>
      </c>
      <c r="S25" s="16">
        <v>-416.8</v>
      </c>
      <c r="T25" s="16">
        <f>-871.9-S25</f>
        <v>-455.09999999999997</v>
      </c>
      <c r="U25" s="16">
        <f>-1295.4-T25-S25</f>
        <v>-423.50000000000017</v>
      </c>
      <c r="V25" s="16">
        <f>-'Income Statement &amp; Segments'!V8*V56</f>
        <v>-487.54168746488921</v>
      </c>
      <c r="W25" s="169">
        <f>SUM(S25:V25)</f>
        <v>-1782.9416874648894</v>
      </c>
      <c r="X25" s="16">
        <f>-'Income Statement &amp; Segments'!X8*X56</f>
        <v>-668.64144810103335</v>
      </c>
      <c r="Y25" s="16">
        <f>-'Income Statement &amp; Segments'!Y8*Y56</f>
        <v>-647.40361854763819</v>
      </c>
      <c r="Z25" s="16">
        <f>-'Income Statement &amp; Segments'!Z8*Z56</f>
        <v>-708.94568024971056</v>
      </c>
      <c r="AA25" s="16">
        <f>-'Income Statement &amp; Segments'!AA8*AA56</f>
        <v>-725.00925310161779</v>
      </c>
      <c r="AB25" s="418">
        <f>SUM(X25:AA25)</f>
        <v>-2750</v>
      </c>
      <c r="AC25" s="16">
        <f>-'Income Statement &amp; Segments'!AC8*AC56</f>
        <v>-679.91445090791535</v>
      </c>
      <c r="AD25" s="16">
        <f>-'Income Statement &amp; Segments'!AD8*AD56</f>
        <v>-642.83137193609161</v>
      </c>
      <c r="AE25" s="16">
        <f>-'Income Statement &amp; Segments'!AE8*AE56</f>
        <v>-704.54610476935875</v>
      </c>
      <c r="AF25" s="16">
        <f>-'Income Statement &amp; Segments'!AF8*AF56</f>
        <v>-722.7080723866344</v>
      </c>
      <c r="AG25" s="418">
        <f>SUM(AC25:AF25)</f>
        <v>-2750</v>
      </c>
      <c r="AH25" s="16">
        <f>-'Income Statement &amp; Segments'!AH8*AH56</f>
        <v>-679.70233690452073</v>
      </c>
      <c r="AI25" s="16">
        <f>-'Income Statement &amp; Segments'!AI8*AI56</f>
        <v>-642.1409233651508</v>
      </c>
      <c r="AJ25" s="16">
        <f>-'Income Statement &amp; Segments'!AJ8*AJ56</f>
        <v>-704.23765768572832</v>
      </c>
      <c r="AK25" s="16">
        <f>-'Income Statement &amp; Segments'!AK8*AK56</f>
        <v>-723.91908204459253</v>
      </c>
      <c r="AL25" s="418">
        <f>SUM(AH25:AK25)</f>
        <v>-2749.9999999999923</v>
      </c>
      <c r="AM25" s="16">
        <f>-'Income Statement &amp; Segments'!AM8*AM56</f>
        <v>-747.74618758998724</v>
      </c>
      <c r="AN25" s="16">
        <f>-'Income Statement &amp; Segments'!AN8*AN56</f>
        <v>-702.84617323811699</v>
      </c>
      <c r="AO25" s="16">
        <f>-'Income Statement &amp; Segments'!AO8*AO56</f>
        <v>-767.99886256777359</v>
      </c>
      <c r="AP25" s="16">
        <f>-'Income Statement &amp; Segments'!AP8*AP56</f>
        <v>-787.09563690279879</v>
      </c>
      <c r="AQ25" s="17">
        <f>SUM(AM25:AP25)</f>
        <v>-3005.6868602986769</v>
      </c>
      <c r="AR25" s="16">
        <f>-'Income Statement &amp; Segments'!AR8*AR56</f>
        <v>-796.38125597218891</v>
      </c>
      <c r="AS25" s="16">
        <f>-'Income Statement &amp; Segments'!AS8*AS56</f>
        <v>-748.0203714828491</v>
      </c>
      <c r="AT25" s="16">
        <f>-'Income Statement &amp; Segments'!AT8*AT56</f>
        <v>-817.19059843482205</v>
      </c>
      <c r="AU25" s="16">
        <f>-'Income Statement &amp; Segments'!AU8*AU56</f>
        <v>-837.74595396265283</v>
      </c>
      <c r="AV25" s="17">
        <f>SUM(AR25:AU25)</f>
        <v>-3199.3381798525129</v>
      </c>
    </row>
    <row r="26" spans="2:48" ht="16.2" outlineLevel="1" x14ac:dyDescent="0.45">
      <c r="B26" s="436" t="s">
        <v>285</v>
      </c>
      <c r="C26" s="437"/>
      <c r="D26" s="260">
        <v>-16.600000000000001</v>
      </c>
      <c r="E26" s="260">
        <f>48.5-37.1-D26</f>
        <v>28</v>
      </c>
      <c r="F26" s="260">
        <f>684.2-72.9-E26-D26</f>
        <v>599.90000000000009</v>
      </c>
      <c r="G26" s="260">
        <f>684.3-56.2-F26-E26-D26</f>
        <v>16.79999999999982</v>
      </c>
      <c r="H26" s="261">
        <f>SUM(D26:G26)</f>
        <v>628.09999999999991</v>
      </c>
      <c r="I26" s="260">
        <v>-19.899999999999999</v>
      </c>
      <c r="J26" s="260">
        <f>-22.5-I26</f>
        <v>-2.6000000000000014</v>
      </c>
      <c r="K26" s="260">
        <f>-39.4-J26-I26</f>
        <v>-16.899999999999999</v>
      </c>
      <c r="L26" s="260">
        <f>-44.4-K26-J26-I26</f>
        <v>-5</v>
      </c>
      <c r="M26" s="261">
        <f>SUM(I26:L26)</f>
        <v>-44.4</v>
      </c>
      <c r="N26" s="260">
        <v>-17.7</v>
      </c>
      <c r="O26" s="260">
        <f>-20.1-N26</f>
        <v>-2.4000000000000021</v>
      </c>
      <c r="P26" s="260">
        <f>-62.3-O26-N26</f>
        <v>-42.199999999999989</v>
      </c>
      <c r="Q26" s="260">
        <f>1175-81.2-P26-O26-N26</f>
        <v>1156.1000000000001</v>
      </c>
      <c r="R26" s="261">
        <f>SUM(N26:Q26)</f>
        <v>1093.8000000000002</v>
      </c>
      <c r="S26" s="260">
        <v>-41.4</v>
      </c>
      <c r="T26" s="260">
        <f>-69.8-S26</f>
        <v>-28.4</v>
      </c>
      <c r="U26" s="260">
        <f>-95.7-T26-S26</f>
        <v>-25.900000000000013</v>
      </c>
      <c r="V26" s="260">
        <f>-('Balance Sheet'!V13-'Balance Sheet'!U13)-('Balance Sheet'!V17-'Balance Sheet'!U17)-('Balance Sheet'!V15-'Balance Sheet'!U15)+('Balance Sheet'!V32-'Balance Sheet'!U32)-('Balance Sheet'!V18-'Balance Sheet'!U18)-('Balance Sheet'!V19-'Balance Sheet'!U19)</f>
        <v>21.646156080834032</v>
      </c>
      <c r="W26" s="261">
        <f>SUM(S26:V26)</f>
        <v>-74.053843919165985</v>
      </c>
      <c r="X26" s="260">
        <f>-('Balance Sheet'!X13-'Balance Sheet'!V13)-('Balance Sheet'!X17-'Balance Sheet'!V17)-('Balance Sheet'!X15-'Balance Sheet'!V15)+('Balance Sheet'!X32-'Balance Sheet'!V32)-('Balance Sheet'!X18-'Balance Sheet'!V18)-('Balance Sheet'!X19-'Balance Sheet'!V19)</f>
        <v>-0.33275892022197695</v>
      </c>
      <c r="Y26" s="260">
        <f>-('Balance Sheet'!Y13-'Balance Sheet'!X13)-('Balance Sheet'!Y17-'Balance Sheet'!X17)-('Balance Sheet'!Y15-'Balance Sheet'!X15)+('Balance Sheet'!Y32-'Balance Sheet'!X32)-('Balance Sheet'!Y18-'Balance Sheet'!X18)-('Balance Sheet'!Y19-'Balance Sheet'!X19)</f>
        <v>19.028199364505525</v>
      </c>
      <c r="Z26" s="260">
        <f>-('Balance Sheet'!Z13-'Balance Sheet'!Y13)-('Balance Sheet'!Z17-'Balance Sheet'!Y17)-('Balance Sheet'!Z15-'Balance Sheet'!Y15)+('Balance Sheet'!Z32-'Balance Sheet'!Y32)-('Balance Sheet'!Z18-'Balance Sheet'!Y18)-('Balance Sheet'!Z19-'Balance Sheet'!Y19)</f>
        <v>0.11916738937679838</v>
      </c>
      <c r="AA26" s="260">
        <f>-('Balance Sheet'!AA13-'Balance Sheet'!Z13)-('Balance Sheet'!AA17-'Balance Sheet'!Z17)-('Balance Sheet'!AA15-'Balance Sheet'!Z15)+('Balance Sheet'!AA32-'Balance Sheet'!Z32)-('Balance Sheet'!AA18-'Balance Sheet'!Z18)-('Balance Sheet'!AA19-'Balance Sheet'!Z19)</f>
        <v>6.7786717047456762</v>
      </c>
      <c r="AB26" s="261">
        <f>SUM(X26:AA26)</f>
        <v>25.593279538406023</v>
      </c>
      <c r="AC26" s="260">
        <f>-('Balance Sheet'!AC13-'Balance Sheet'!AA13)-('Balance Sheet'!AC17-'Balance Sheet'!AA17)-('Balance Sheet'!AC15-'Balance Sheet'!AA15)+('Balance Sheet'!AC32-'Balance Sheet'!AA32)-('Balance Sheet'!AC18-'Balance Sheet'!AA18)-('Balance Sheet'!AC19-'Balance Sheet'!AA19)</f>
        <v>-13.339814650338951</v>
      </c>
      <c r="AD26" s="260">
        <f>-('Balance Sheet'!AD13-'Balance Sheet'!AC13)-('Balance Sheet'!AD17-'Balance Sheet'!AC17)-('Balance Sheet'!AD15-'Balance Sheet'!AC15)+('Balance Sheet'!AD32-'Balance Sheet'!AC32)-('Balance Sheet'!AD18-'Balance Sheet'!AC18)-('Balance Sheet'!AD19-'Balance Sheet'!AC19)</f>
        <v>12.786314681317606</v>
      </c>
      <c r="AE26" s="260">
        <f>-('Balance Sheet'!AE13-'Balance Sheet'!AD13)-('Balance Sheet'!AE17-'Balance Sheet'!AD17)-('Balance Sheet'!AE15-'Balance Sheet'!AD15)+('Balance Sheet'!AE32-'Balance Sheet'!AD32)-('Balance Sheet'!AE18-'Balance Sheet'!AD18)-('Balance Sheet'!AE19-'Balance Sheet'!AD19)</f>
        <v>-4.1195312125490489</v>
      </c>
      <c r="AF26" s="260">
        <f>-('Balance Sheet'!AF13-'Balance Sheet'!AE13)-('Balance Sheet'!AF17-'Balance Sheet'!AE17)-('Balance Sheet'!AF15-'Balance Sheet'!AE15)+('Balance Sheet'!AF32-'Balance Sheet'!AE32)-('Balance Sheet'!AF18-'Balance Sheet'!AE18)-('Balance Sheet'!AF19-'Balance Sheet'!AE19)</f>
        <v>0.91949201359113886</v>
      </c>
      <c r="AG26" s="261">
        <f>SUM(AC26:AF26)</f>
        <v>-3.7535391679792554</v>
      </c>
      <c r="AH26" s="260">
        <f>-('Balance Sheet'!AH13-'Balance Sheet'!AF13)-('Balance Sheet'!AH17-'Balance Sheet'!AF17)-('Balance Sheet'!AH15-'Balance Sheet'!AF15)+('Balance Sheet'!AH32-'Balance Sheet'!AF32)-('Balance Sheet'!AH18-'Balance Sheet'!AF18)-('Balance Sheet'!AH19-'Balance Sheet'!AF19)</f>
        <v>-18.682130624768888</v>
      </c>
      <c r="AI26" s="260">
        <f>-('Balance Sheet'!AI13-'Balance Sheet'!AH13)-('Balance Sheet'!AI17-'Balance Sheet'!AH17)-('Balance Sheet'!AI15-'Balance Sheet'!AH15)+('Balance Sheet'!AI32-'Balance Sheet'!AH32)-('Balance Sheet'!AI18-'Balance Sheet'!AH18)-('Balance Sheet'!AI19-'Balance Sheet'!AH19)</f>
        <v>9.2867697898808643</v>
      </c>
      <c r="AJ26" s="260">
        <f>-('Balance Sheet'!AJ13-'Balance Sheet'!AI13)-('Balance Sheet'!AJ17-'Balance Sheet'!AI17)-('Balance Sheet'!AJ15-'Balance Sheet'!AI15)+('Balance Sheet'!AJ32-'Balance Sheet'!AI32)-('Balance Sheet'!AJ18-'Balance Sheet'!AI18)-('Balance Sheet'!AJ19-'Balance Sheet'!AI19)</f>
        <v>-17.6609082117631</v>
      </c>
      <c r="AK26" s="260">
        <f>-('Balance Sheet'!AK13-'Balance Sheet'!AJ13)-('Balance Sheet'!AK17-'Balance Sheet'!AJ17)-('Balance Sheet'!AK15-'Balance Sheet'!AJ15)+('Balance Sheet'!AK32-'Balance Sheet'!AJ32)-('Balance Sheet'!AK18-'Balance Sheet'!AJ18)-('Balance Sheet'!AK19-'Balance Sheet'!AJ19)</f>
        <v>113.43873735190577</v>
      </c>
      <c r="AL26" s="261">
        <f>SUM(AH26:AK26)</f>
        <v>86.382468305254648</v>
      </c>
      <c r="AM26" s="260">
        <f>-('Balance Sheet'!AM13-'Balance Sheet'!AK13)-('Balance Sheet'!AM17-'Balance Sheet'!AK17)-('Balance Sheet'!AM15-'Balance Sheet'!AK15)+('Balance Sheet'!AM32-'Balance Sheet'!AK32)-('Balance Sheet'!AM18-'Balance Sheet'!AK18)-('Balance Sheet'!AM19-'Balance Sheet'!AK19)</f>
        <v>-19.553063234851415</v>
      </c>
      <c r="AN26" s="260">
        <f>-('Balance Sheet'!AN13-'Balance Sheet'!AM13)-('Balance Sheet'!AN17-'Balance Sheet'!AM17)-('Balance Sheet'!AN15-'Balance Sheet'!AM15)+('Balance Sheet'!AN32-'Balance Sheet'!AM32)-('Balance Sheet'!AN18-'Balance Sheet'!AM18)-('Balance Sheet'!AN19-'Balance Sheet'!AM19)</f>
        <v>10.779084451538075</v>
      </c>
      <c r="AO26" s="260">
        <f>-('Balance Sheet'!AO13-'Balance Sheet'!AN13)-('Balance Sheet'!AO17-'Balance Sheet'!AN17)-('Balance Sheet'!AO15-'Balance Sheet'!AN15)+('Balance Sheet'!AO32-'Balance Sheet'!AN32)-('Balance Sheet'!AO18-'Balance Sheet'!AN18)-('Balance Sheet'!AO19-'Balance Sheet'!AN19)</f>
        <v>-13.797765563079629</v>
      </c>
      <c r="AP26" s="260">
        <f>-('Balance Sheet'!AP13-'Balance Sheet'!AO13)-('Balance Sheet'!AP17-'Balance Sheet'!AO17)-('Balance Sheet'!AP15-'Balance Sheet'!AO15)+('Balance Sheet'!AP32-'Balance Sheet'!AO32)-('Balance Sheet'!AP18-'Balance Sheet'!AO18)-('Balance Sheet'!AP19-'Balance Sheet'!AO19)</f>
        <v>-3.5813784385751504</v>
      </c>
      <c r="AQ26" s="261">
        <f>SUM(AM26:AP26)</f>
        <v>-26.153122784968119</v>
      </c>
      <c r="AR26" s="260">
        <f>-('Balance Sheet'!AR13-'Balance Sheet'!AP13)-('Balance Sheet'!AR17-'Balance Sheet'!AP17)-('Balance Sheet'!AR15-'Balance Sheet'!AP15)+('Balance Sheet'!AR32-'Balance Sheet'!AP32)-('Balance Sheet'!AR18-'Balance Sheet'!AP18)-('Balance Sheet'!AR19-'Balance Sheet'!AP19)</f>
        <v>-24.794675230808394</v>
      </c>
      <c r="AS26" s="260">
        <f>-('Balance Sheet'!AS13-'Balance Sheet'!AR13)-('Balance Sheet'!AS17-'Balance Sheet'!AR17)-('Balance Sheet'!AS15-'Balance Sheet'!AR15)+('Balance Sheet'!AS32-'Balance Sheet'!AR32)-('Balance Sheet'!AS18-'Balance Sheet'!AR18)-('Balance Sheet'!AS19-'Balance Sheet'!AR19)</f>
        <v>7.5343720242820282</v>
      </c>
      <c r="AT26" s="260">
        <f>-('Balance Sheet'!AT13-'Balance Sheet'!AS13)-('Balance Sheet'!AT17-'Balance Sheet'!AS17)-('Balance Sheet'!AT15-'Balance Sheet'!AS15)+('Balance Sheet'!AT32-'Balance Sheet'!AS32)-('Balance Sheet'!AT18-'Balance Sheet'!AS18)-('Balance Sheet'!AT19-'Balance Sheet'!AS19)</f>
        <v>-17.814598212621696</v>
      </c>
      <c r="AU26" s="260">
        <f>-('Balance Sheet'!AU13-'Balance Sheet'!AT13)-('Balance Sheet'!AU17-'Balance Sheet'!AT17)-('Balance Sheet'!AU15-'Balance Sheet'!AT15)+('Balance Sheet'!AU32-'Balance Sheet'!AT32)-('Balance Sheet'!AU18-'Balance Sheet'!AT18)-('Balance Sheet'!AU19-'Balance Sheet'!AT19)</f>
        <v>-7.0700320223620139</v>
      </c>
      <c r="AV26" s="261">
        <f>SUM(AR26:AU26)</f>
        <v>-42.144933441510076</v>
      </c>
    </row>
    <row r="27" spans="2:48" outlineLevel="1" x14ac:dyDescent="0.3">
      <c r="B27" s="438" t="s">
        <v>286</v>
      </c>
      <c r="C27" s="439"/>
      <c r="D27" s="21">
        <f t="shared" ref="D27:AV27" si="26">SUM(D24:D26)</f>
        <v>-510.4</v>
      </c>
      <c r="E27" s="21">
        <f t="shared" si="26"/>
        <v>-200.60000000000002</v>
      </c>
      <c r="F27" s="21">
        <f t="shared" si="26"/>
        <v>204.5</v>
      </c>
      <c r="G27" s="21">
        <f t="shared" si="26"/>
        <v>-504.30000000000007</v>
      </c>
      <c r="H27" s="22">
        <f t="shared" si="26"/>
        <v>-1010.8</v>
      </c>
      <c r="I27" s="21">
        <f t="shared" si="26"/>
        <v>-386.3</v>
      </c>
      <c r="J27" s="21">
        <f t="shared" si="26"/>
        <v>-361.59999999999997</v>
      </c>
      <c r="K27" s="21">
        <f t="shared" si="26"/>
        <v>-583.80000000000007</v>
      </c>
      <c r="L27" s="21">
        <f t="shared" si="26"/>
        <v>-379.79999999999978</v>
      </c>
      <c r="M27" s="22">
        <f t="shared" si="26"/>
        <v>-1711.5</v>
      </c>
      <c r="N27" s="21">
        <f t="shared" si="26"/>
        <v>-272.5</v>
      </c>
      <c r="O27" s="21">
        <f t="shared" si="26"/>
        <v>-306.5</v>
      </c>
      <c r="P27" s="21">
        <f t="shared" si="26"/>
        <v>-407.2</v>
      </c>
      <c r="Q27" s="21">
        <f t="shared" si="26"/>
        <v>666.70000000000016</v>
      </c>
      <c r="R27" s="22">
        <f t="shared" si="26"/>
        <v>-319.49999999999977</v>
      </c>
      <c r="S27" s="21">
        <f t="shared" si="26"/>
        <v>-401</v>
      </c>
      <c r="T27" s="21">
        <f t="shared" si="26"/>
        <v>-479.89999999999992</v>
      </c>
      <c r="U27" s="21">
        <f t="shared" si="26"/>
        <v>-495.4000000000002</v>
      </c>
      <c r="V27" s="21">
        <f t="shared" si="26"/>
        <v>-470.02153074222002</v>
      </c>
      <c r="W27" s="22">
        <f t="shared" si="26"/>
        <v>-1846.3215307422201</v>
      </c>
      <c r="X27" s="21">
        <f t="shared" si="26"/>
        <v>-673.30169209064888</v>
      </c>
      <c r="Y27" s="21">
        <f t="shared" si="26"/>
        <v>-624.41243419952218</v>
      </c>
      <c r="Z27" s="21">
        <f t="shared" si="26"/>
        <v>-720.02699739015316</v>
      </c>
      <c r="AA27" s="21">
        <f t="shared" si="26"/>
        <v>-722.48919453648489</v>
      </c>
      <c r="AB27" s="22">
        <f t="shared" si="26"/>
        <v>-2740.2303182168089</v>
      </c>
      <c r="AC27" s="21">
        <f t="shared" si="26"/>
        <v>-707.04788608553008</v>
      </c>
      <c r="AD27" s="21">
        <f t="shared" si="26"/>
        <v>-629.44046721348536</v>
      </c>
      <c r="AE27" s="21">
        <f t="shared" si="26"/>
        <v>-717.91492302678455</v>
      </c>
      <c r="AF27" s="21">
        <f t="shared" si="26"/>
        <v>-727.07279990381426</v>
      </c>
      <c r="AG27" s="22">
        <f t="shared" si="26"/>
        <v>-2781.4760762296141</v>
      </c>
      <c r="AH27" s="21">
        <f t="shared" si="26"/>
        <v>-714.48368660206688</v>
      </c>
      <c r="AI27" s="21">
        <f t="shared" si="26"/>
        <v>-632.70872636718866</v>
      </c>
      <c r="AJ27" s="21">
        <f t="shared" si="26"/>
        <v>-737.01129820268886</v>
      </c>
      <c r="AK27" s="21">
        <f t="shared" si="26"/>
        <v>-549.41582609418776</v>
      </c>
      <c r="AL27" s="22">
        <f t="shared" si="26"/>
        <v>-2633.6195372661318</v>
      </c>
      <c r="AM27" s="21">
        <f t="shared" si="26"/>
        <v>-782.81059871464026</v>
      </c>
      <c r="AN27" s="21">
        <f t="shared" si="26"/>
        <v>-689.83810360278937</v>
      </c>
      <c r="AO27" s="21">
        <f t="shared" si="26"/>
        <v>-793.51887878164223</v>
      </c>
      <c r="AP27" s="21">
        <f t="shared" si="26"/>
        <v>-796.25945838392408</v>
      </c>
      <c r="AQ27" s="22">
        <f t="shared" si="26"/>
        <v>-3062.4270394829964</v>
      </c>
      <c r="AR27" s="21">
        <f t="shared" si="26"/>
        <v>-838.81965869336852</v>
      </c>
      <c r="AS27" s="21">
        <f t="shared" si="26"/>
        <v>-739.27093864356993</v>
      </c>
      <c r="AT27" s="21">
        <f t="shared" si="26"/>
        <v>-848.26021751985957</v>
      </c>
      <c r="AU27" s="21">
        <f t="shared" si="26"/>
        <v>-851.70253944248225</v>
      </c>
      <c r="AV27" s="22">
        <f t="shared" si="26"/>
        <v>-3278.0533542992803</v>
      </c>
    </row>
    <row r="28" spans="2:48" outlineLevel="1" x14ac:dyDescent="0.3">
      <c r="B28" s="476" t="s">
        <v>287</v>
      </c>
      <c r="C28" s="477"/>
      <c r="D28" s="321"/>
      <c r="E28" s="323"/>
      <c r="F28" s="323"/>
      <c r="G28" s="323"/>
      <c r="H28" s="324"/>
      <c r="I28" s="323"/>
      <c r="J28" s="323"/>
      <c r="K28" s="323"/>
      <c r="L28" s="323"/>
      <c r="M28" s="324"/>
      <c r="N28" s="323"/>
      <c r="O28" s="323"/>
      <c r="P28" s="323"/>
      <c r="Q28" s="323"/>
      <c r="R28" s="324"/>
      <c r="S28" s="323"/>
      <c r="T28" s="323"/>
      <c r="U28" s="323"/>
      <c r="V28" s="323"/>
      <c r="W28" s="324"/>
      <c r="X28" s="323"/>
      <c r="Y28" s="323"/>
      <c r="Z28" s="323"/>
      <c r="AA28" s="323"/>
      <c r="AB28" s="324"/>
      <c r="AC28" s="323"/>
      <c r="AD28" s="323"/>
      <c r="AE28" s="323"/>
      <c r="AF28" s="323"/>
      <c r="AG28" s="324"/>
      <c r="AH28" s="323"/>
      <c r="AI28" s="323"/>
      <c r="AJ28" s="323"/>
      <c r="AK28" s="323"/>
      <c r="AL28" s="324"/>
      <c r="AM28" s="323"/>
      <c r="AN28" s="323"/>
      <c r="AO28" s="323"/>
      <c r="AP28" s="323"/>
      <c r="AQ28" s="324"/>
      <c r="AR28" s="323"/>
      <c r="AS28" s="323"/>
      <c r="AT28" s="323"/>
      <c r="AU28" s="323"/>
      <c r="AV28" s="324"/>
    </row>
    <row r="29" spans="2:48" outlineLevel="1" x14ac:dyDescent="0.3">
      <c r="B29" s="474" t="s">
        <v>264</v>
      </c>
      <c r="C29" s="475"/>
      <c r="D29" s="327">
        <v>0</v>
      </c>
      <c r="E29" s="327">
        <f>-D29</f>
        <v>0</v>
      </c>
      <c r="F29" s="327">
        <f>1996-350-E29-D29</f>
        <v>1646</v>
      </c>
      <c r="G29" s="327">
        <f>1996-F29-E29-D29</f>
        <v>350</v>
      </c>
      <c r="H29" s="328">
        <f t="shared" ref="H29:H36" si="27">SUM(D29:G29)</f>
        <v>1996</v>
      </c>
      <c r="I29" s="327">
        <v>0</v>
      </c>
      <c r="J29" s="327">
        <f>1739.7-I29</f>
        <v>1739.7</v>
      </c>
      <c r="K29" s="327">
        <f>1157.2+4727.6-J29-I29</f>
        <v>4145.1000000000004</v>
      </c>
      <c r="L29" s="327">
        <f>1406.6-K29-J29-I29</f>
        <v>-4478.2000000000007</v>
      </c>
      <c r="M29" s="328">
        <f t="shared" ref="M29:M36" si="28">SUM(I29:L29)</f>
        <v>1406.5999999999995</v>
      </c>
      <c r="N29" s="327">
        <v>192.9</v>
      </c>
      <c r="O29" s="327">
        <f>203.3-N29</f>
        <v>10.400000000000006</v>
      </c>
      <c r="P29" s="327">
        <f>215.6-O29-N29</f>
        <v>12.299999999999983</v>
      </c>
      <c r="Q29" s="327">
        <f>-296.5-P29-O29-N29</f>
        <v>-512.09999999999991</v>
      </c>
      <c r="R29" s="328">
        <f t="shared" ref="R29:R36" si="29">SUM(N29:Q29)</f>
        <v>-296.49999999999989</v>
      </c>
      <c r="S29" s="327">
        <v>200</v>
      </c>
      <c r="T29" s="327">
        <f>17.4+1498.1-S29</f>
        <v>1315.5</v>
      </c>
      <c r="U29" s="327">
        <f>200+38.9+1498.1-T29-S29</f>
        <v>221.5</v>
      </c>
      <c r="V29" s="327">
        <f>+('Balance Sheet'!V28-'Balance Sheet'!U28)+('Balance Sheet'!V31-'Balance Sheet'!U31)</f>
        <v>-199</v>
      </c>
      <c r="W29" s="328">
        <f t="shared" ref="W29:W36" si="30">SUM(S29:V29)</f>
        <v>1538</v>
      </c>
      <c r="X29" s="327">
        <f>+('Balance Sheet'!X28-'Balance Sheet'!V28)+('Balance Sheet'!X31-'Balance Sheet'!V31)</f>
        <v>0</v>
      </c>
      <c r="Y29" s="327">
        <f>+('Balance Sheet'!Y28-'Balance Sheet'!X28)+('Balance Sheet'!Y31-'Balance Sheet'!X31)</f>
        <v>0</v>
      </c>
      <c r="Z29" s="327">
        <f>+('Balance Sheet'!Z28-'Balance Sheet'!Y28)+('Balance Sheet'!Z31-'Balance Sheet'!Y31)</f>
        <v>0</v>
      </c>
      <c r="AA29" s="327">
        <f>+('Balance Sheet'!AA28-'Balance Sheet'!Z28)+('Balance Sheet'!AA31-'Balance Sheet'!Z31)</f>
        <v>0</v>
      </c>
      <c r="AB29" s="328">
        <f t="shared" ref="AB29:AB36" si="31">SUM(X29:AA29)</f>
        <v>0</v>
      </c>
      <c r="AC29" s="327">
        <f>+('Balance Sheet'!AC28-'Balance Sheet'!AA28)+('Balance Sheet'!AC31-'Balance Sheet'!AA31)</f>
        <v>0</v>
      </c>
      <c r="AD29" s="327">
        <f>+('Balance Sheet'!AD28-'Balance Sheet'!AC28)+('Balance Sheet'!AD31-'Balance Sheet'!AC31)</f>
        <v>-0.29999999999995453</v>
      </c>
      <c r="AE29" s="327">
        <f>+('Balance Sheet'!AE28-'Balance Sheet'!AD28)+('Balance Sheet'!AE31-'Balance Sheet'!AD31)</f>
        <v>0</v>
      </c>
      <c r="AF29" s="327">
        <f>+('Balance Sheet'!AF28-'Balance Sheet'!AE28)+('Balance Sheet'!AF31-'Balance Sheet'!AE31)</f>
        <v>100</v>
      </c>
      <c r="AG29" s="328">
        <f t="shared" ref="AG29:AG36" si="32">SUM(AC29:AF29)</f>
        <v>99.700000000000045</v>
      </c>
      <c r="AH29" s="327">
        <f>+('Balance Sheet'!AH28-'Balance Sheet'!AF28)+('Balance Sheet'!AH31-'Balance Sheet'!AF31)</f>
        <v>0</v>
      </c>
      <c r="AI29" s="327">
        <f>+('Balance Sheet'!AI28-'Balance Sheet'!AH28)+('Balance Sheet'!AI31-'Balance Sheet'!AH31)</f>
        <v>0</v>
      </c>
      <c r="AJ29" s="327">
        <f>+('Balance Sheet'!AJ28-'Balance Sheet'!AI28)+('Balance Sheet'!AJ31-'Balance Sheet'!AI31)</f>
        <v>5290.5983828510798</v>
      </c>
      <c r="AK29" s="327">
        <f>+('Balance Sheet'!AK28-'Balance Sheet'!AJ28)+('Balance Sheet'!AK31-'Balance Sheet'!AJ31)</f>
        <v>0</v>
      </c>
      <c r="AL29" s="328">
        <f t="shared" ref="AL29:AL36" si="33">SUM(AH29:AK29)</f>
        <v>5290.5983828510798</v>
      </c>
      <c r="AM29" s="327">
        <f>+('Balance Sheet'!AM28-'Balance Sheet'!AK28)+('Balance Sheet'!AM31-'Balance Sheet'!AK31)</f>
        <v>0</v>
      </c>
      <c r="AN29" s="327">
        <f>+('Balance Sheet'!AN28-'Balance Sheet'!AM28)+('Balance Sheet'!AN31-'Balance Sheet'!AM31)</f>
        <v>0</v>
      </c>
      <c r="AO29" s="327">
        <f>+('Balance Sheet'!AO28-'Balance Sheet'!AN28)+('Balance Sheet'!AO31-'Balance Sheet'!AN31)</f>
        <v>0</v>
      </c>
      <c r="AP29" s="327">
        <f>+('Balance Sheet'!AP28-'Balance Sheet'!AO28)+('Balance Sheet'!AP31-'Balance Sheet'!AO31)</f>
        <v>0</v>
      </c>
      <c r="AQ29" s="328">
        <f t="shared" ref="AQ29:AQ36" si="34">SUM(AM29:AP29)</f>
        <v>0</v>
      </c>
      <c r="AR29" s="327">
        <f>+('Balance Sheet'!AR28-'Balance Sheet'!AP28)+('Balance Sheet'!AR31-'Balance Sheet'!AP31)</f>
        <v>0</v>
      </c>
      <c r="AS29" s="327">
        <f>+('Balance Sheet'!AS28-'Balance Sheet'!AR28)+('Balance Sheet'!AS31-'Balance Sheet'!AR31)</f>
        <v>0</v>
      </c>
      <c r="AT29" s="327">
        <f>+('Balance Sheet'!AT28-'Balance Sheet'!AS28)+('Balance Sheet'!AT31-'Balance Sheet'!AS31)</f>
        <v>0</v>
      </c>
      <c r="AU29" s="327">
        <f>+('Balance Sheet'!AU28-'Balance Sheet'!AT28)+('Balance Sheet'!AU31-'Balance Sheet'!AT31)</f>
        <v>0</v>
      </c>
      <c r="AV29" s="328">
        <f t="shared" ref="AV29:AV36" si="35">SUM(AR29:AU29)</f>
        <v>0</v>
      </c>
    </row>
    <row r="30" spans="2:48" outlineLevel="1" x14ac:dyDescent="0.3">
      <c r="B30" s="325" t="s">
        <v>288</v>
      </c>
      <c r="C30" s="326"/>
      <c r="D30" s="327">
        <v>-350</v>
      </c>
      <c r="E30" s="327">
        <v>0</v>
      </c>
      <c r="F30" s="327">
        <f>-75-E30-D30</f>
        <v>275</v>
      </c>
      <c r="G30" s="327">
        <f>-350-F30-E30-D30</f>
        <v>-275</v>
      </c>
      <c r="H30" s="328">
        <f t="shared" si="27"/>
        <v>-350</v>
      </c>
      <c r="I30" s="327"/>
      <c r="J30" s="327">
        <f>0-I30</f>
        <v>0</v>
      </c>
      <c r="K30" s="327">
        <v>-220.7</v>
      </c>
      <c r="L30" s="327">
        <f>-967.7-K30-J30-I30</f>
        <v>-747</v>
      </c>
      <c r="M30" s="328">
        <f t="shared" si="28"/>
        <v>-967.7</v>
      </c>
      <c r="N30" s="327">
        <f>-144.7-500</f>
        <v>-644.70000000000005</v>
      </c>
      <c r="O30" s="327">
        <f>-296.5-320.5-1250-N30</f>
        <v>-1222.3</v>
      </c>
      <c r="P30" s="327">
        <f>-296.5-346.2-1250-O30-N30</f>
        <v>-25.700000000000045</v>
      </c>
      <c r="Q30" s="327">
        <f>215.1-349.8-1250-P30-O30-N30</f>
        <v>508</v>
      </c>
      <c r="R30" s="328">
        <f t="shared" si="29"/>
        <v>-1384.7</v>
      </c>
      <c r="S30" s="327"/>
      <c r="T30" s="327">
        <v>-12.6</v>
      </c>
      <c r="U30" s="327">
        <f>-38.9-1000-T30-S30</f>
        <v>-1026.3000000000002</v>
      </c>
      <c r="V30" s="327"/>
      <c r="W30" s="328">
        <f t="shared" si="30"/>
        <v>-1038.9000000000001</v>
      </c>
      <c r="X30" s="327"/>
      <c r="Y30" s="327"/>
      <c r="Z30" s="327"/>
      <c r="AA30" s="327"/>
      <c r="AB30" s="328">
        <f t="shared" si="31"/>
        <v>0</v>
      </c>
      <c r="AC30" s="327"/>
      <c r="AD30" s="327"/>
      <c r="AE30" s="327"/>
      <c r="AF30" s="327"/>
      <c r="AG30" s="328">
        <f t="shared" si="32"/>
        <v>0</v>
      </c>
      <c r="AH30" s="327"/>
      <c r="AI30" s="327"/>
      <c r="AJ30" s="327"/>
      <c r="AK30" s="327"/>
      <c r="AL30" s="328">
        <f t="shared" si="33"/>
        <v>0</v>
      </c>
      <c r="AM30" s="327"/>
      <c r="AN30" s="327"/>
      <c r="AO30" s="327"/>
      <c r="AP30" s="327"/>
      <c r="AQ30" s="328">
        <f t="shared" si="34"/>
        <v>0</v>
      </c>
      <c r="AR30" s="327"/>
      <c r="AS30" s="327"/>
      <c r="AT30" s="327"/>
      <c r="AU30" s="327"/>
      <c r="AV30" s="328">
        <f t="shared" si="35"/>
        <v>0</v>
      </c>
    </row>
    <row r="31" spans="2:48" outlineLevel="1" x14ac:dyDescent="0.3">
      <c r="B31" s="325" t="s">
        <v>289</v>
      </c>
      <c r="C31" s="326"/>
      <c r="D31" s="327"/>
      <c r="E31" s="327">
        <v>75</v>
      </c>
      <c r="F31" s="327">
        <v>0</v>
      </c>
      <c r="G31" s="327">
        <f>0-F31-E31-D31</f>
        <v>-75</v>
      </c>
      <c r="H31" s="328">
        <f t="shared" si="27"/>
        <v>0</v>
      </c>
      <c r="I31" s="327">
        <f>398.9+99</f>
        <v>497.9</v>
      </c>
      <c r="J31" s="327">
        <f>613+494.1-I31</f>
        <v>609.19999999999993</v>
      </c>
      <c r="K31" s="327">
        <f>0-J31-I31</f>
        <v>-1107.0999999999999</v>
      </c>
      <c r="L31" s="327">
        <f>4727.6-K31-J31-I31</f>
        <v>4727.6000000000013</v>
      </c>
      <c r="M31" s="328">
        <f t="shared" si="28"/>
        <v>4727.6000000000013</v>
      </c>
      <c r="N31" s="327">
        <v>0</v>
      </c>
      <c r="O31" s="327">
        <f>0-N31</f>
        <v>0</v>
      </c>
      <c r="P31" s="327">
        <f>0-O31-N31</f>
        <v>0</v>
      </c>
      <c r="Q31" s="327">
        <f>0-P31-O31-N31</f>
        <v>0</v>
      </c>
      <c r="R31" s="328">
        <f t="shared" si="29"/>
        <v>0</v>
      </c>
      <c r="S31" s="327">
        <v>0</v>
      </c>
      <c r="T31" s="327">
        <f>0-S31</f>
        <v>0</v>
      </c>
      <c r="U31" s="327">
        <f t="shared" ref="U31" si="36">0-T31-S31</f>
        <v>0</v>
      </c>
      <c r="V31" s="327"/>
      <c r="W31" s="328">
        <f t="shared" si="30"/>
        <v>0</v>
      </c>
      <c r="X31" s="327"/>
      <c r="Y31" s="327"/>
      <c r="Z31" s="327"/>
      <c r="AA31" s="327"/>
      <c r="AB31" s="328">
        <f t="shared" si="31"/>
        <v>0</v>
      </c>
      <c r="AC31" s="327"/>
      <c r="AD31" s="327"/>
      <c r="AE31" s="327"/>
      <c r="AF31" s="327"/>
      <c r="AG31" s="328">
        <f t="shared" si="32"/>
        <v>0</v>
      </c>
      <c r="AH31" s="327"/>
      <c r="AI31" s="327"/>
      <c r="AJ31" s="327"/>
      <c r="AK31" s="327"/>
      <c r="AL31" s="328">
        <f t="shared" si="33"/>
        <v>0</v>
      </c>
      <c r="AM31" s="327"/>
      <c r="AN31" s="327"/>
      <c r="AO31" s="327"/>
      <c r="AP31" s="327"/>
      <c r="AQ31" s="328">
        <f t="shared" si="34"/>
        <v>0</v>
      </c>
      <c r="AR31" s="327"/>
      <c r="AS31" s="327"/>
      <c r="AT31" s="327"/>
      <c r="AU31" s="327"/>
      <c r="AV31" s="328">
        <f t="shared" si="35"/>
        <v>0</v>
      </c>
    </row>
    <row r="32" spans="2:48" outlineLevel="1" x14ac:dyDescent="0.3">
      <c r="B32" s="325" t="s">
        <v>290</v>
      </c>
      <c r="C32" s="326"/>
      <c r="D32" s="327">
        <v>108.4</v>
      </c>
      <c r="E32" s="327">
        <f>275.7-D32</f>
        <v>167.29999999999998</v>
      </c>
      <c r="F32" s="327">
        <f>358.5-E32-D32</f>
        <v>82.800000000000011</v>
      </c>
      <c r="G32" s="327">
        <f>409.8-F32-E32-D32</f>
        <v>51.300000000000011</v>
      </c>
      <c r="H32" s="328">
        <f t="shared" si="27"/>
        <v>409.8</v>
      </c>
      <c r="I32" s="327">
        <v>33.1</v>
      </c>
      <c r="J32" s="327">
        <f>65.4-I32</f>
        <v>32.300000000000004</v>
      </c>
      <c r="K32" s="327">
        <f>98.9-J32-I32</f>
        <v>33.499999999999993</v>
      </c>
      <c r="L32" s="327">
        <f>298.8-K32-J32-I32</f>
        <v>199.9</v>
      </c>
      <c r="M32" s="328">
        <f t="shared" si="28"/>
        <v>298.8</v>
      </c>
      <c r="N32" s="327">
        <v>102.8</v>
      </c>
      <c r="O32" s="327">
        <f>134.4-N32</f>
        <v>31.600000000000009</v>
      </c>
      <c r="P32" s="327">
        <f>191.6-O32-N32</f>
        <v>57.2</v>
      </c>
      <c r="Q32" s="327">
        <f>246.2-P32-O32-N32</f>
        <v>54.59999999999998</v>
      </c>
      <c r="R32" s="328">
        <f t="shared" si="29"/>
        <v>246.2</v>
      </c>
      <c r="S32" s="327">
        <v>41.3</v>
      </c>
      <c r="T32" s="327">
        <f>56.3-S32</f>
        <v>15</v>
      </c>
      <c r="U32" s="327">
        <f>75.5-T32-S32</f>
        <v>19.200000000000003</v>
      </c>
      <c r="V32" s="327">
        <v>0</v>
      </c>
      <c r="W32" s="328">
        <f t="shared" si="30"/>
        <v>75.5</v>
      </c>
      <c r="X32" s="327">
        <v>0</v>
      </c>
      <c r="Y32" s="327">
        <v>0</v>
      </c>
      <c r="Z32" s="327">
        <v>0</v>
      </c>
      <c r="AA32" s="327">
        <v>0</v>
      </c>
      <c r="AB32" s="328">
        <f t="shared" si="31"/>
        <v>0</v>
      </c>
      <c r="AC32" s="327">
        <v>0</v>
      </c>
      <c r="AD32" s="327">
        <v>0</v>
      </c>
      <c r="AE32" s="327">
        <v>0</v>
      </c>
      <c r="AF32" s="327">
        <v>0</v>
      </c>
      <c r="AG32" s="328">
        <f t="shared" si="32"/>
        <v>0</v>
      </c>
      <c r="AH32" s="327">
        <v>0</v>
      </c>
      <c r="AI32" s="327">
        <v>0</v>
      </c>
      <c r="AJ32" s="327">
        <v>0</v>
      </c>
      <c r="AK32" s="327">
        <v>0</v>
      </c>
      <c r="AL32" s="328">
        <f t="shared" si="33"/>
        <v>0</v>
      </c>
      <c r="AM32" s="327">
        <v>0</v>
      </c>
      <c r="AN32" s="327">
        <v>0</v>
      </c>
      <c r="AO32" s="327">
        <v>0</v>
      </c>
      <c r="AP32" s="327">
        <v>0</v>
      </c>
      <c r="AQ32" s="328">
        <f t="shared" si="34"/>
        <v>0</v>
      </c>
      <c r="AR32" s="327">
        <v>0</v>
      </c>
      <c r="AS32" s="327">
        <v>0</v>
      </c>
      <c r="AT32" s="327">
        <v>0</v>
      </c>
      <c r="AU32" s="327">
        <v>0</v>
      </c>
      <c r="AV32" s="328">
        <f t="shared" si="35"/>
        <v>0</v>
      </c>
    </row>
    <row r="33" spans="2:48" outlineLevel="1" x14ac:dyDescent="0.3">
      <c r="B33" s="325" t="s">
        <v>291</v>
      </c>
      <c r="C33" s="326"/>
      <c r="D33" s="327">
        <v>-446.7</v>
      </c>
      <c r="E33" s="327">
        <f>-894.5-D33</f>
        <v>-447.8</v>
      </c>
      <c r="F33" s="327">
        <f>-1330.7-E33-D33</f>
        <v>-436.2000000000001</v>
      </c>
      <c r="G33" s="327">
        <f>-1761.3-F33-E33-D33</f>
        <v>-430.59999999999997</v>
      </c>
      <c r="H33" s="328">
        <f t="shared" si="27"/>
        <v>-1761.3</v>
      </c>
      <c r="I33" s="327">
        <v>-484.2</v>
      </c>
      <c r="J33" s="327">
        <f>-965.2-I33</f>
        <v>-481.00000000000006</v>
      </c>
      <c r="K33" s="327">
        <f>-1444.2-J33-I33</f>
        <v>-479.00000000000006</v>
      </c>
      <c r="L33" s="327">
        <f>-1923.5-K33-J33-I33</f>
        <v>-479.3</v>
      </c>
      <c r="M33" s="328">
        <f t="shared" si="28"/>
        <v>-1923.5</v>
      </c>
      <c r="N33" s="327">
        <v>-528.20000000000005</v>
      </c>
      <c r="O33" s="327">
        <f>-1058-N33</f>
        <v>-529.79999999999995</v>
      </c>
      <c r="P33" s="327">
        <f>-1588.2-O33-N33</f>
        <v>-530.20000000000005</v>
      </c>
      <c r="Q33" s="327">
        <f>-2119-P33-O33-N33</f>
        <v>-530.79999999999995</v>
      </c>
      <c r="R33" s="328">
        <f t="shared" si="29"/>
        <v>-2119</v>
      </c>
      <c r="S33" s="327">
        <v>-576</v>
      </c>
      <c r="T33" s="327">
        <f>-1139.2-S33</f>
        <v>-563.20000000000005</v>
      </c>
      <c r="U33" s="327">
        <f>-1701.1-T33-S33</f>
        <v>-561.89999999999986</v>
      </c>
      <c r="V33" s="327">
        <f>-'Income Statement &amp; Segments'!V35*'Income Statement &amp; Segments'!V30</f>
        <v>-591.31176300000004</v>
      </c>
      <c r="W33" s="328">
        <f t="shared" si="30"/>
        <v>-2292.4117630000001</v>
      </c>
      <c r="X33" s="327">
        <f>-'Income Statement &amp; Segments'!X35*'Income Statement &amp; Segments'!X30</f>
        <v>-592.49438652600008</v>
      </c>
      <c r="Y33" s="327">
        <f>-'Income Statement &amp; Segments'!Y35*'Income Statement &amp; Segments'!Y30</f>
        <v>-593.67937529905203</v>
      </c>
      <c r="Z33" s="327">
        <f>-'Income Statement &amp; Segments'!Z35*'Income Statement &amp; Segments'!Z30</f>
        <v>-594.86673404965018</v>
      </c>
      <c r="AA33" s="327">
        <f>-'Income Statement &amp; Segments'!AA35*'Income Statement &amp; Segments'!AA30</f>
        <v>-625.85929089363685</v>
      </c>
      <c r="AB33" s="328">
        <f t="shared" si="31"/>
        <v>-2406.8997867683393</v>
      </c>
      <c r="AC33" s="327">
        <f>-'Income Statement &amp; Segments'!X35*'Income Statement &amp; Segments'!X30</f>
        <v>-592.49438652600008</v>
      </c>
      <c r="AD33" s="327">
        <f>-'Income Statement &amp; Segments'!Y35*'Income Statement &amp; Segments'!Y30</f>
        <v>-593.67937529905203</v>
      </c>
      <c r="AE33" s="327">
        <f>-'Income Statement &amp; Segments'!Z35*'Income Statement &amp; Segments'!Z30</f>
        <v>-594.86673404965018</v>
      </c>
      <c r="AF33" s="327">
        <f>-'Income Statement &amp; Segments'!AA35*'Income Statement &amp; Segments'!AA30</f>
        <v>-625.85929089363685</v>
      </c>
      <c r="AG33" s="328">
        <f t="shared" si="32"/>
        <v>-2406.8997867683393</v>
      </c>
      <c r="AH33" s="327">
        <f>-'Income Statement &amp; Segments'!AC35*'Income Statement &amp; Segments'!AC30</f>
        <v>-627.11100947542411</v>
      </c>
      <c r="AI33" s="327">
        <f>-'Income Statement &amp; Segments'!AD35*'Income Statement &amp; Segments'!AD30</f>
        <v>-628.36523149437494</v>
      </c>
      <c r="AJ33" s="327">
        <f>-'Income Statement &amp; Segments'!AE35*'Income Statement &amp; Segments'!AE30</f>
        <v>-629.12813479686986</v>
      </c>
      <c r="AK33" s="327">
        <f>-'Income Statement &amp; Segments'!AF35*'Income Statement &amp; Segments'!AF30</f>
        <v>-661.38719210126828</v>
      </c>
      <c r="AL33" s="328">
        <f t="shared" si="33"/>
        <v>-2545.9915678679372</v>
      </c>
      <c r="AM33" s="327">
        <f>-'Income Statement &amp; Segments'!AH35*'Income Statement &amp; Segments'!AH30</f>
        <v>-662.21613932497689</v>
      </c>
      <c r="AN33" s="327">
        <f>-'Income Statement &amp; Segments'!AI35*'Income Statement &amp; Segments'!AI30</f>
        <v>-663.04674444313298</v>
      </c>
      <c r="AO33" s="327">
        <f>-'Income Statement &amp; Segments'!AJ35*'Income Statement &amp; Segments'!AJ30</f>
        <v>-638.74025332534723</v>
      </c>
      <c r="AP33" s="327">
        <f>-'Income Statement &amp; Segments'!AK35*'Income Statement &amp; Segments'!AK30</f>
        <v>-645.10440668659226</v>
      </c>
      <c r="AQ33" s="328">
        <f t="shared" si="34"/>
        <v>-2609.1075437800491</v>
      </c>
      <c r="AR33" s="327">
        <f>-'Income Statement &amp; Segments'!AM35*'Income Statement &amp; Segments'!AM30</f>
        <v>-645.15083440543822</v>
      </c>
      <c r="AS33" s="327">
        <f>-'Income Statement &amp; Segments'!AN35*'Income Statement &amp; Segments'!AN30</f>
        <v>-645.19735497972169</v>
      </c>
      <c r="AT33" s="327">
        <f>-'Income Statement &amp; Segments'!AO35*'Income Statement &amp; Segments'!AO30</f>
        <v>-645.24396859515389</v>
      </c>
      <c r="AU33" s="327">
        <f>-'Income Statement &amp; Segments'!AP35*'Income Statement &amp; Segments'!AP30</f>
        <v>-658.19648894657325</v>
      </c>
      <c r="AV33" s="328">
        <f t="shared" si="35"/>
        <v>-2593.7886469268869</v>
      </c>
    </row>
    <row r="34" spans="2:48" outlineLevel="1" x14ac:dyDescent="0.3">
      <c r="B34" s="325" t="s">
        <v>292</v>
      </c>
      <c r="C34" s="338"/>
      <c r="D34" s="327">
        <v>-5114.7</v>
      </c>
      <c r="E34" s="327">
        <f>-7827.9-D34</f>
        <v>-2713.2</v>
      </c>
      <c r="F34" s="327">
        <f>-7972.9-E34-D34</f>
        <v>-145</v>
      </c>
      <c r="G34" s="327">
        <f>-10222.3-F34-E34-D34</f>
        <v>-2249.3999999999996</v>
      </c>
      <c r="H34" s="328">
        <f t="shared" si="27"/>
        <v>-10222.299999999999</v>
      </c>
      <c r="I34" s="327">
        <v>-1091.4000000000001</v>
      </c>
      <c r="J34" s="327">
        <f>-1698.9-I34</f>
        <v>-607.5</v>
      </c>
      <c r="K34" s="327">
        <f>-1698.9-J34-I34</f>
        <v>0</v>
      </c>
      <c r="L34" s="327">
        <f>-1698.9-K34-J34-I34</f>
        <v>0</v>
      </c>
      <c r="M34" s="328">
        <f t="shared" si="28"/>
        <v>-1698.9</v>
      </c>
      <c r="N34" s="327">
        <v>0</v>
      </c>
      <c r="O34" s="327">
        <f>0-N34</f>
        <v>0</v>
      </c>
      <c r="P34" s="327">
        <f>0-O34-N34</f>
        <v>0</v>
      </c>
      <c r="Q34" s="327">
        <f>0-P34-O34-N34</f>
        <v>0</v>
      </c>
      <c r="R34" s="328">
        <f t="shared" si="29"/>
        <v>0</v>
      </c>
      <c r="S34" s="327">
        <v>-3520.9</v>
      </c>
      <c r="T34" s="327">
        <f>-3997.5-S34</f>
        <v>-476.59999999999991</v>
      </c>
      <c r="U34" s="327">
        <f>-4013-T34-S34</f>
        <v>-15.5</v>
      </c>
      <c r="V34" s="327">
        <f>-'Income Statement &amp; Segments'!V154</f>
        <v>0</v>
      </c>
      <c r="W34" s="328">
        <f t="shared" si="30"/>
        <v>-4013</v>
      </c>
      <c r="X34" s="327">
        <f>-'Income Statement &amp; Segments'!X154</f>
        <v>0</v>
      </c>
      <c r="Y34" s="327">
        <f>-'Income Statement &amp; Segments'!Y154</f>
        <v>0</v>
      </c>
      <c r="Z34" s="327">
        <f>-'Income Statement &amp; Segments'!Z154</f>
        <v>0</v>
      </c>
      <c r="AA34" s="327">
        <f>-'Income Statement &amp; Segments'!AA154</f>
        <v>0</v>
      </c>
      <c r="AB34" s="328">
        <f t="shared" si="31"/>
        <v>0</v>
      </c>
      <c r="AC34" s="327">
        <f>-'Income Statement &amp; Segments'!AC154</f>
        <v>0</v>
      </c>
      <c r="AD34" s="327">
        <f>-'Income Statement &amp; Segments'!AD154</f>
        <v>0</v>
      </c>
      <c r="AE34" s="327">
        <f>-'Income Statement &amp; Segments'!AE154</f>
        <v>-100</v>
      </c>
      <c r="AF34" s="327">
        <f>-'Income Statement &amp; Segments'!AF154</f>
        <v>-100</v>
      </c>
      <c r="AG34" s="328">
        <f t="shared" si="32"/>
        <v>-200</v>
      </c>
      <c r="AH34" s="327">
        <f>-'Income Statement &amp; Segments'!AH154</f>
        <v>-100</v>
      </c>
      <c r="AI34" s="327">
        <f>-'Income Statement &amp; Segments'!AI154</f>
        <v>-100</v>
      </c>
      <c r="AJ34" s="327">
        <f>-'Income Statement &amp; Segments'!AJ154</f>
        <v>-5190.5983828510816</v>
      </c>
      <c r="AK34" s="327">
        <f>-'Income Statement &amp; Segments'!AK154</f>
        <v>-5190.5983828510816</v>
      </c>
      <c r="AL34" s="328">
        <f t="shared" si="33"/>
        <v>-10581.196765702163</v>
      </c>
      <c r="AM34" s="327">
        <f>-'Income Statement &amp; Segments'!AM154</f>
        <v>-250</v>
      </c>
      <c r="AN34" s="327">
        <f>-'Income Statement &amp; Segments'!AN154</f>
        <v>-250</v>
      </c>
      <c r="AO34" s="327">
        <f>-'Income Statement &amp; Segments'!AO154</f>
        <v>-250</v>
      </c>
      <c r="AP34" s="327">
        <f>-'Income Statement &amp; Segments'!AP154</f>
        <v>-250</v>
      </c>
      <c r="AQ34" s="328">
        <f t="shared" si="34"/>
        <v>-1000</v>
      </c>
      <c r="AR34" s="327">
        <f>-'Income Statement &amp; Segments'!AR154</f>
        <v>-250</v>
      </c>
      <c r="AS34" s="327">
        <f>-'Income Statement &amp; Segments'!AS154</f>
        <v>-250</v>
      </c>
      <c r="AT34" s="327">
        <f>-'Income Statement &amp; Segments'!AT154</f>
        <v>-250</v>
      </c>
      <c r="AU34" s="327">
        <f>-'Income Statement &amp; Segments'!AU154</f>
        <v>-250</v>
      </c>
      <c r="AV34" s="328">
        <f t="shared" si="35"/>
        <v>-1000</v>
      </c>
    </row>
    <row r="35" spans="2:48" outlineLevel="1" x14ac:dyDescent="0.3">
      <c r="B35" s="325" t="s">
        <v>293</v>
      </c>
      <c r="C35" s="339"/>
      <c r="D35" s="327">
        <v>-55.3</v>
      </c>
      <c r="E35" s="327">
        <f>-56.3-D35</f>
        <v>-1</v>
      </c>
      <c r="F35" s="327">
        <f>-106.1-E35-D35</f>
        <v>-49.8</v>
      </c>
      <c r="G35" s="327">
        <f>-111.6-F35-E35-D35</f>
        <v>-5.5</v>
      </c>
      <c r="H35" s="328">
        <f t="shared" si="27"/>
        <v>-111.6</v>
      </c>
      <c r="I35" s="327">
        <v>-78.400000000000006</v>
      </c>
      <c r="J35" s="327">
        <f>-87.6-I35</f>
        <v>-9.1999999999999886</v>
      </c>
      <c r="K35" s="327">
        <f>-89.1-J35-I35</f>
        <v>-1.5</v>
      </c>
      <c r="L35" s="327">
        <f>-91.9-K35-J35-I35</f>
        <v>-2.8000000000000114</v>
      </c>
      <c r="M35" s="328">
        <f t="shared" si="28"/>
        <v>-91.9</v>
      </c>
      <c r="N35" s="327">
        <v>-88.6</v>
      </c>
      <c r="O35" s="327">
        <f>-90.1-N35</f>
        <v>-1.5</v>
      </c>
      <c r="P35" s="327">
        <f>-94.2-O35-N35</f>
        <v>-4.1000000000000085</v>
      </c>
      <c r="Q35" s="327">
        <f>-97-P35-O35-N35</f>
        <v>-2.7999999999999972</v>
      </c>
      <c r="R35" s="328">
        <f t="shared" si="29"/>
        <v>-97</v>
      </c>
      <c r="S35" s="327">
        <v>-113.6</v>
      </c>
      <c r="T35" s="327">
        <f>-122.1-S35</f>
        <v>-8.5</v>
      </c>
      <c r="U35" s="327">
        <f>-123.5-T35-S35</f>
        <v>-1.4000000000000057</v>
      </c>
      <c r="V35" s="327">
        <f>(U35/U12)*V12</f>
        <v>-1.706455238723249</v>
      </c>
      <c r="W35" s="328">
        <f t="shared" si="30"/>
        <v>-125.20645523872325</v>
      </c>
      <c r="X35" s="327">
        <f>(V35/V12)*X12</f>
        <v>-1.8170877282208633</v>
      </c>
      <c r="Y35" s="327">
        <f>(X35/X12)*Y12</f>
        <v>-1.5902113538135656</v>
      </c>
      <c r="Z35" s="327">
        <f>(Y35/Y12)*Z12</f>
        <v>-1.7847911801029732</v>
      </c>
      <c r="AA35" s="327">
        <f>(Z35/Z12)*AA12</f>
        <v>-1.8779040714545581</v>
      </c>
      <c r="AB35" s="328">
        <f t="shared" si="31"/>
        <v>-7.0699943335919597</v>
      </c>
      <c r="AC35" s="327">
        <f>(AA35/AA12)*AC12</f>
        <v>-1.9304189608151356</v>
      </c>
      <c r="AD35" s="327">
        <f>(AC35/AC12)*AD12</f>
        <v>-1.7990045785246953</v>
      </c>
      <c r="AE35" s="327">
        <f>(AD35/AD12)*AE12</f>
        <v>-1.9867579998491471</v>
      </c>
      <c r="AF35" s="327">
        <f>(AE35/AE12)*AF12</f>
        <v>-2.0450373404597397</v>
      </c>
      <c r="AG35" s="328">
        <f t="shared" si="32"/>
        <v>-7.7612188796487178</v>
      </c>
      <c r="AH35" s="327">
        <f>(AF35/AF12)*AH12</f>
        <v>-2.1396984029843038</v>
      </c>
      <c r="AI35" s="327">
        <f>(AH35/AH12)*AI12</f>
        <v>-2.0183452702814919</v>
      </c>
      <c r="AJ35" s="327">
        <f>(AI35/AI12)*AJ12</f>
        <v>-2.2172441106674787</v>
      </c>
      <c r="AK35" s="327">
        <f>(AJ35/AJ12)*AK12</f>
        <v>-2.2796788713133922</v>
      </c>
      <c r="AL35" s="328">
        <f t="shared" si="33"/>
        <v>-8.6549666552466675</v>
      </c>
      <c r="AM35" s="327">
        <f>(AK35/AK12)*AM12</f>
        <v>-2.3532796293290499</v>
      </c>
      <c r="AN35" s="327">
        <f>(AM35/AM12)*AN12</f>
        <v>-2.211826158542765</v>
      </c>
      <c r="AO35" s="327">
        <f>(AN35/AN12)*AO12</f>
        <v>-2.4175896125987064</v>
      </c>
      <c r="AP35" s="327">
        <f>(AO35/AO12)*AP12</f>
        <v>-2.4776014238016439</v>
      </c>
      <c r="AQ35" s="328">
        <f t="shared" si="34"/>
        <v>-9.4602968242721648</v>
      </c>
      <c r="AR35" s="327">
        <f>(AP35/AP12)*AR12</f>
        <v>-2.5065710929698608</v>
      </c>
      <c r="AS35" s="327">
        <f>(AR35/AR12)*AS12</f>
        <v>-2.3544113321375053</v>
      </c>
      <c r="AT35" s="327">
        <f>(AS35/AS12)*AT12</f>
        <v>-2.5722420009011659</v>
      </c>
      <c r="AU35" s="327">
        <f>(AT35/AT12)*AU12</f>
        <v>-2.6368924534286768</v>
      </c>
      <c r="AV35" s="328">
        <f t="shared" si="35"/>
        <v>-10.07011687943721</v>
      </c>
    </row>
    <row r="36" spans="2:48" ht="16.2" outlineLevel="1" x14ac:dyDescent="0.45">
      <c r="B36" s="474" t="s">
        <v>294</v>
      </c>
      <c r="C36" s="475"/>
      <c r="D36" s="329">
        <v>-0.3</v>
      </c>
      <c r="E36" s="329">
        <f>0.1-D36</f>
        <v>0.4</v>
      </c>
      <c r="F36" s="329">
        <f>-17.6-E36-D36</f>
        <v>-17.7</v>
      </c>
      <c r="G36" s="329">
        <f>-17.5-F36-E36-D36</f>
        <v>9.9999999999999256E-2</v>
      </c>
      <c r="H36" s="330">
        <f t="shared" si="27"/>
        <v>-17.5</v>
      </c>
      <c r="I36" s="329">
        <v>0</v>
      </c>
      <c r="J36" s="329">
        <f>-10.4-I36</f>
        <v>-10.4</v>
      </c>
      <c r="K36" s="329">
        <f>-37.8-J36-I36</f>
        <v>-27.4</v>
      </c>
      <c r="L36" s="329">
        <f>-37.7-K36-J36-I36</f>
        <v>9.9999999999996092E-2</v>
      </c>
      <c r="M36" s="330">
        <f t="shared" si="28"/>
        <v>-37.700000000000003</v>
      </c>
      <c r="N36" s="329">
        <v>0</v>
      </c>
      <c r="O36" s="329">
        <f>0-N36</f>
        <v>0</v>
      </c>
      <c r="P36" s="329">
        <f>0-O36-N36</f>
        <v>0</v>
      </c>
      <c r="Q36" s="329">
        <f>0-P36-O36-N36</f>
        <v>0</v>
      </c>
      <c r="R36" s="330">
        <f t="shared" si="29"/>
        <v>0</v>
      </c>
      <c r="S36" s="329">
        <v>0</v>
      </c>
      <c r="T36" s="329">
        <f>-9.2-S36</f>
        <v>-9.1999999999999993</v>
      </c>
      <c r="U36" s="329">
        <f>-9.2-T36-S36</f>
        <v>0</v>
      </c>
      <c r="V36" s="329">
        <v>0</v>
      </c>
      <c r="W36" s="330">
        <f t="shared" si="30"/>
        <v>-9.1999999999999993</v>
      </c>
      <c r="X36" s="329">
        <v>0</v>
      </c>
      <c r="Y36" s="329">
        <v>0</v>
      </c>
      <c r="Z36" s="329">
        <v>0</v>
      </c>
      <c r="AA36" s="329">
        <v>0</v>
      </c>
      <c r="AB36" s="330">
        <f t="shared" si="31"/>
        <v>0</v>
      </c>
      <c r="AC36" s="329">
        <v>0</v>
      </c>
      <c r="AD36" s="329">
        <v>0</v>
      </c>
      <c r="AE36" s="329">
        <v>0</v>
      </c>
      <c r="AF36" s="329">
        <v>0</v>
      </c>
      <c r="AG36" s="330">
        <f t="shared" si="32"/>
        <v>0</v>
      </c>
      <c r="AH36" s="329">
        <v>0</v>
      </c>
      <c r="AI36" s="329">
        <v>0</v>
      </c>
      <c r="AJ36" s="329">
        <v>0</v>
      </c>
      <c r="AK36" s="329">
        <v>0</v>
      </c>
      <c r="AL36" s="330">
        <f t="shared" si="33"/>
        <v>0</v>
      </c>
      <c r="AM36" s="329">
        <v>0</v>
      </c>
      <c r="AN36" s="329">
        <v>0</v>
      </c>
      <c r="AO36" s="329">
        <v>0</v>
      </c>
      <c r="AP36" s="329">
        <v>0</v>
      </c>
      <c r="AQ36" s="330">
        <f t="shared" si="34"/>
        <v>0</v>
      </c>
      <c r="AR36" s="329">
        <v>0</v>
      </c>
      <c r="AS36" s="329">
        <v>0</v>
      </c>
      <c r="AT36" s="329">
        <v>0</v>
      </c>
      <c r="AU36" s="329">
        <v>0</v>
      </c>
      <c r="AV36" s="330">
        <f t="shared" si="35"/>
        <v>0</v>
      </c>
    </row>
    <row r="37" spans="2:48" outlineLevel="1" x14ac:dyDescent="0.3">
      <c r="B37" s="478" t="s">
        <v>295</v>
      </c>
      <c r="C37" s="479"/>
      <c r="D37" s="331">
        <f t="shared" ref="D37:AV37" si="37">SUM(D29:D36)</f>
        <v>-5858.6</v>
      </c>
      <c r="E37" s="331">
        <f t="shared" si="37"/>
        <v>-2919.2999999999997</v>
      </c>
      <c r="F37" s="331">
        <f t="shared" si="37"/>
        <v>1355.1</v>
      </c>
      <c r="G37" s="331">
        <f t="shared" si="37"/>
        <v>-2634.1</v>
      </c>
      <c r="H37" s="332">
        <f t="shared" si="37"/>
        <v>-10056.9</v>
      </c>
      <c r="I37" s="331">
        <f t="shared" si="37"/>
        <v>-1123.0000000000002</v>
      </c>
      <c r="J37" s="331">
        <f t="shared" si="37"/>
        <v>1273.1000000000001</v>
      </c>
      <c r="K37" s="331">
        <f t="shared" si="37"/>
        <v>2342.9000000000005</v>
      </c>
      <c r="L37" s="331">
        <f t="shared" si="37"/>
        <v>-779.69999999999948</v>
      </c>
      <c r="M37" s="332">
        <f t="shared" si="37"/>
        <v>1713.3000000000009</v>
      </c>
      <c r="N37" s="331">
        <f t="shared" si="37"/>
        <v>-965.80000000000007</v>
      </c>
      <c r="O37" s="331">
        <f t="shared" si="37"/>
        <v>-1711.6</v>
      </c>
      <c r="P37" s="331">
        <f t="shared" si="37"/>
        <v>-490.50000000000011</v>
      </c>
      <c r="Q37" s="331">
        <f t="shared" si="37"/>
        <v>-483.09999999999991</v>
      </c>
      <c r="R37" s="332">
        <f t="shared" si="37"/>
        <v>-3651</v>
      </c>
      <c r="S37" s="331">
        <f t="shared" si="37"/>
        <v>-3969.2</v>
      </c>
      <c r="T37" s="331">
        <f t="shared" si="37"/>
        <v>260.40000000000015</v>
      </c>
      <c r="U37" s="331">
        <f t="shared" si="37"/>
        <v>-1364.4</v>
      </c>
      <c r="V37" s="331">
        <f t="shared" si="37"/>
        <v>-792.01821823872331</v>
      </c>
      <c r="W37" s="332">
        <f t="shared" si="37"/>
        <v>-5865.2182182387223</v>
      </c>
      <c r="X37" s="331">
        <f t="shared" si="37"/>
        <v>-594.31147425422091</v>
      </c>
      <c r="Y37" s="331">
        <f t="shared" si="37"/>
        <v>-595.26958665286554</v>
      </c>
      <c r="Z37" s="331">
        <f t="shared" si="37"/>
        <v>-596.65152522975313</v>
      </c>
      <c r="AA37" s="331">
        <f t="shared" si="37"/>
        <v>-627.73719496509136</v>
      </c>
      <c r="AB37" s="332">
        <f t="shared" si="37"/>
        <v>-2413.9697811019314</v>
      </c>
      <c r="AC37" s="331">
        <f t="shared" si="37"/>
        <v>-594.42480548681522</v>
      </c>
      <c r="AD37" s="331">
        <f t="shared" si="37"/>
        <v>-595.77837987757664</v>
      </c>
      <c r="AE37" s="331">
        <f t="shared" si="37"/>
        <v>-696.85349204949932</v>
      </c>
      <c r="AF37" s="331">
        <f t="shared" si="37"/>
        <v>-627.90432823409662</v>
      </c>
      <c r="AG37" s="332">
        <f t="shared" si="37"/>
        <v>-2514.9610056479883</v>
      </c>
      <c r="AH37" s="331">
        <f t="shared" si="37"/>
        <v>-729.25070787840843</v>
      </c>
      <c r="AI37" s="331">
        <f t="shared" si="37"/>
        <v>-730.38357676465648</v>
      </c>
      <c r="AJ37" s="331">
        <f t="shared" si="37"/>
        <v>-531.34537890753904</v>
      </c>
      <c r="AK37" s="331">
        <f t="shared" si="37"/>
        <v>-5854.2652538236634</v>
      </c>
      <c r="AL37" s="332">
        <f t="shared" si="37"/>
        <v>-7845.2449173742671</v>
      </c>
      <c r="AM37" s="331">
        <f t="shared" si="37"/>
        <v>-914.56941895430589</v>
      </c>
      <c r="AN37" s="331">
        <f t="shared" si="37"/>
        <v>-915.25857060167573</v>
      </c>
      <c r="AO37" s="331">
        <f t="shared" si="37"/>
        <v>-891.15784293794593</v>
      </c>
      <c r="AP37" s="331">
        <f t="shared" si="37"/>
        <v>-897.58200811039387</v>
      </c>
      <c r="AQ37" s="332">
        <f t="shared" si="37"/>
        <v>-3618.5678406043212</v>
      </c>
      <c r="AR37" s="331">
        <f t="shared" si="37"/>
        <v>-897.65740549840802</v>
      </c>
      <c r="AS37" s="331">
        <f t="shared" si="37"/>
        <v>-897.55176631185918</v>
      </c>
      <c r="AT37" s="331">
        <f t="shared" si="37"/>
        <v>-897.81621059605504</v>
      </c>
      <c r="AU37" s="331">
        <f t="shared" si="37"/>
        <v>-910.83338140000194</v>
      </c>
      <c r="AV37" s="332">
        <f t="shared" si="37"/>
        <v>-3603.8587638063241</v>
      </c>
    </row>
    <row r="38" spans="2:48" outlineLevel="1" x14ac:dyDescent="0.3">
      <c r="B38" s="248" t="s">
        <v>296</v>
      </c>
      <c r="C38" s="249"/>
      <c r="D38" s="333">
        <f>-4.7-0.1</f>
        <v>-4.8</v>
      </c>
      <c r="E38" s="340">
        <f>18.3-0.1-D38</f>
        <v>23</v>
      </c>
      <c r="F38" s="340">
        <f>-2.5-E38-D38</f>
        <v>-20.7</v>
      </c>
      <c r="G38" s="340">
        <f>-49-F38-E38-D38</f>
        <v>-46.5</v>
      </c>
      <c r="H38" s="337">
        <f>SUM(D38:G38)</f>
        <v>-49</v>
      </c>
      <c r="I38" s="340">
        <v>27.1</v>
      </c>
      <c r="J38" s="340">
        <f>8.7-I38</f>
        <v>-18.400000000000002</v>
      </c>
      <c r="K38" s="340">
        <f>10.9-J38-I38</f>
        <v>2.2000000000000028</v>
      </c>
      <c r="L38" s="340">
        <f>64.7-K38-J38-I38</f>
        <v>53.800000000000004</v>
      </c>
      <c r="M38" s="337">
        <f>SUM(I38:L38)</f>
        <v>64.7</v>
      </c>
      <c r="N38" s="340">
        <v>79.8</v>
      </c>
      <c r="O38" s="340">
        <f>66.7-N38</f>
        <v>-13.099999999999994</v>
      </c>
      <c r="P38" s="340">
        <f>87.9-O38-N38</f>
        <v>21.200000000000003</v>
      </c>
      <c r="Q38" s="340">
        <f>86.2-P38-O38-N38</f>
        <v>-1.7000000000000028</v>
      </c>
      <c r="R38" s="337">
        <f>SUM(N38:Q38)</f>
        <v>86.2</v>
      </c>
      <c r="S38" s="340">
        <v>13</v>
      </c>
      <c r="T38" s="340">
        <f>14.6-S38</f>
        <v>1.5999999999999996</v>
      </c>
      <c r="U38" s="340">
        <f>-126.3-T38-S38</f>
        <v>-140.89999999999998</v>
      </c>
      <c r="V38" s="341">
        <v>0</v>
      </c>
      <c r="W38" s="337">
        <f>SUM(S38:V38)</f>
        <v>-126.29999999999998</v>
      </c>
      <c r="X38" s="341">
        <v>0</v>
      </c>
      <c r="Y38" s="341">
        <v>0</v>
      </c>
      <c r="Z38" s="341">
        <v>0</v>
      </c>
      <c r="AA38" s="341">
        <v>0</v>
      </c>
      <c r="AB38" s="337">
        <f>SUM(X38:AA38)</f>
        <v>0</v>
      </c>
      <c r="AC38" s="341">
        <v>0</v>
      </c>
      <c r="AD38" s="341">
        <v>0</v>
      </c>
      <c r="AE38" s="341">
        <v>0</v>
      </c>
      <c r="AF38" s="341">
        <v>0</v>
      </c>
      <c r="AG38" s="337">
        <f>SUM(AC38:AF38)</f>
        <v>0</v>
      </c>
      <c r="AH38" s="341">
        <v>0</v>
      </c>
      <c r="AI38" s="341">
        <v>0</v>
      </c>
      <c r="AJ38" s="341">
        <v>0</v>
      </c>
      <c r="AK38" s="341">
        <v>0</v>
      </c>
      <c r="AL38" s="337">
        <f>SUM(AH38:AK38)</f>
        <v>0</v>
      </c>
      <c r="AM38" s="341">
        <v>0</v>
      </c>
      <c r="AN38" s="341">
        <v>0</v>
      </c>
      <c r="AO38" s="341">
        <v>0</v>
      </c>
      <c r="AP38" s="341">
        <v>0</v>
      </c>
      <c r="AQ38" s="337">
        <f>SUM(AM38:AP38)</f>
        <v>0</v>
      </c>
      <c r="AR38" s="341">
        <v>0</v>
      </c>
      <c r="AS38" s="341">
        <v>0</v>
      </c>
      <c r="AT38" s="341">
        <v>0</v>
      </c>
      <c r="AU38" s="341">
        <v>0</v>
      </c>
      <c r="AV38" s="337">
        <f>SUM(AR38:AU38)</f>
        <v>0</v>
      </c>
    </row>
    <row r="39" spans="2:48" ht="16.2" outlineLevel="1" x14ac:dyDescent="0.45">
      <c r="B39" s="436" t="s">
        <v>297</v>
      </c>
      <c r="C39" s="437"/>
      <c r="D39" s="260">
        <f t="shared" ref="D39:AV39" si="38">D37+D27+D22+D38</f>
        <v>-3994.7999999999997</v>
      </c>
      <c r="E39" s="260">
        <f t="shared" si="38"/>
        <v>-2706.5</v>
      </c>
      <c r="F39" s="260">
        <f t="shared" si="38"/>
        <v>2708.3000000000011</v>
      </c>
      <c r="G39" s="260">
        <f t="shared" si="38"/>
        <v>-2076.7999999999993</v>
      </c>
      <c r="H39" s="261">
        <f t="shared" si="38"/>
        <v>-6069.7999999999938</v>
      </c>
      <c r="I39" s="260">
        <f t="shared" si="38"/>
        <v>353.89999999999839</v>
      </c>
      <c r="J39" s="260">
        <f t="shared" si="38"/>
        <v>-468.20000000000061</v>
      </c>
      <c r="K39" s="260">
        <f t="shared" si="38"/>
        <v>1393.600000000001</v>
      </c>
      <c r="L39" s="260">
        <f t="shared" si="38"/>
        <v>385.0000000000021</v>
      </c>
      <c r="M39" s="261">
        <f t="shared" si="38"/>
        <v>1664.3000000000052</v>
      </c>
      <c r="N39" s="260">
        <f t="shared" si="38"/>
        <v>677.2</v>
      </c>
      <c r="O39" s="260">
        <f t="shared" si="38"/>
        <v>-1147.3999999999996</v>
      </c>
      <c r="P39" s="260">
        <f t="shared" si="38"/>
        <v>872.49999999999909</v>
      </c>
      <c r="Q39" s="260">
        <f t="shared" si="38"/>
        <v>1702.5999999999997</v>
      </c>
      <c r="R39" s="261">
        <f t="shared" si="38"/>
        <v>2104.8999999999978</v>
      </c>
      <c r="S39" s="260">
        <f t="shared" si="38"/>
        <v>-2486.3000000000002</v>
      </c>
      <c r="T39" s="260">
        <f t="shared" si="38"/>
        <v>-55.999999999999567</v>
      </c>
      <c r="U39" s="260">
        <f t="shared" si="38"/>
        <v>-735.90000000000089</v>
      </c>
      <c r="V39" s="260">
        <f t="shared" si="38"/>
        <v>75.199344839386868</v>
      </c>
      <c r="W39" s="261">
        <f>W37+W27+W22+W38</f>
        <v>-3203.000655160612</v>
      </c>
      <c r="X39" s="260">
        <f>X37+X27+X22+X38</f>
        <v>413.36205947848089</v>
      </c>
      <c r="Y39" s="260">
        <f t="shared" si="38"/>
        <v>-504.06967509361505</v>
      </c>
      <c r="Z39" s="260">
        <f t="shared" si="38"/>
        <v>-241.67507444569651</v>
      </c>
      <c r="AA39" s="260">
        <f t="shared" si="38"/>
        <v>595.94976587252518</v>
      </c>
      <c r="AB39" s="261">
        <f t="shared" si="38"/>
        <v>263.56707581169485</v>
      </c>
      <c r="AC39" s="260">
        <f t="shared" si="38"/>
        <v>794.56698255121864</v>
      </c>
      <c r="AD39" s="260">
        <f t="shared" si="38"/>
        <v>-241.03592446872005</v>
      </c>
      <c r="AE39" s="260">
        <f t="shared" si="38"/>
        <v>32.322143833818473</v>
      </c>
      <c r="AF39" s="260">
        <f t="shared" si="38"/>
        <v>543.05717374701817</v>
      </c>
      <c r="AG39" s="261">
        <f t="shared" si="38"/>
        <v>1128.910375663334</v>
      </c>
      <c r="AH39" s="260">
        <f t="shared" si="38"/>
        <v>871.45123147054255</v>
      </c>
      <c r="AI39" s="260">
        <f t="shared" si="38"/>
        <v>-239.28192650512619</v>
      </c>
      <c r="AJ39" s="260">
        <f t="shared" si="38"/>
        <v>354.52945475469505</v>
      </c>
      <c r="AK39" s="260">
        <f t="shared" si="38"/>
        <v>-4202.8445468472501</v>
      </c>
      <c r="AL39" s="261">
        <f t="shared" si="38"/>
        <v>-3216.1457871271386</v>
      </c>
      <c r="AM39" s="260">
        <f t="shared" si="38"/>
        <v>883.85592091119952</v>
      </c>
      <c r="AN39" s="260">
        <f t="shared" si="38"/>
        <v>-380.80748963652263</v>
      </c>
      <c r="AO39" s="260">
        <f t="shared" si="38"/>
        <v>50.324394886339405</v>
      </c>
      <c r="AP39" s="260">
        <f t="shared" si="38"/>
        <v>726.17763158707521</v>
      </c>
      <c r="AQ39" s="261">
        <f t="shared" si="38"/>
        <v>1279.5504577480915</v>
      </c>
      <c r="AR39" s="260">
        <f t="shared" si="38"/>
        <v>1087.042660243942</v>
      </c>
      <c r="AS39" s="260">
        <f t="shared" si="38"/>
        <v>-296.78551459960363</v>
      </c>
      <c r="AT39" s="260">
        <f t="shared" si="38"/>
        <v>174.32555027200169</v>
      </c>
      <c r="AU39" s="260">
        <f t="shared" si="38"/>
        <v>799.7227181789367</v>
      </c>
      <c r="AV39" s="261">
        <f t="shared" si="38"/>
        <v>1764.3054140952781</v>
      </c>
    </row>
    <row r="40" spans="2:48" ht="16.2" outlineLevel="1" x14ac:dyDescent="0.45">
      <c r="B40" s="436" t="s">
        <v>298</v>
      </c>
      <c r="C40" s="437"/>
      <c r="D40" s="260">
        <v>8756.2999999999993</v>
      </c>
      <c r="E40" s="260">
        <f>D41</f>
        <v>4761.6000000000004</v>
      </c>
      <c r="F40" s="260">
        <f>E41</f>
        <v>2055.1000000000004</v>
      </c>
      <c r="G40" s="260">
        <f>F41</f>
        <v>4763.4000000000015</v>
      </c>
      <c r="H40" s="261">
        <f>D40</f>
        <v>8756.2999999999993</v>
      </c>
      <c r="I40" s="112">
        <f>H41</f>
        <v>2686.5000000000055</v>
      </c>
      <c r="J40" s="260">
        <f>I41</f>
        <v>3040.5000000000036</v>
      </c>
      <c r="K40" s="260">
        <f>J41</f>
        <v>2572.3000000000029</v>
      </c>
      <c r="L40" s="260">
        <f>K41</f>
        <v>3965.9000000000042</v>
      </c>
      <c r="M40" s="261">
        <f>H41</f>
        <v>2686.5000000000055</v>
      </c>
      <c r="N40" s="260">
        <f>+M41</f>
        <v>4350.8000000000102</v>
      </c>
      <c r="O40" s="260">
        <f>N41</f>
        <v>5028.00000000001</v>
      </c>
      <c r="P40" s="260">
        <f>O41</f>
        <v>3880.6000000000104</v>
      </c>
      <c r="Q40" s="260">
        <f>P41</f>
        <v>4753.1000000000095</v>
      </c>
      <c r="R40" s="261">
        <f>M41</f>
        <v>4350.8000000000102</v>
      </c>
      <c r="S40" s="260">
        <f>+R41</f>
        <v>6455.700000000008</v>
      </c>
      <c r="T40" s="260">
        <f>S41</f>
        <v>3969.4000000000078</v>
      </c>
      <c r="U40" s="260">
        <f>T41</f>
        <v>3913.4000000000083</v>
      </c>
      <c r="V40" s="260">
        <f>U41</f>
        <v>3177.5000000000073</v>
      </c>
      <c r="W40" s="261">
        <f>R41</f>
        <v>6455.700000000008</v>
      </c>
      <c r="X40" s="260">
        <f>+W41</f>
        <v>3252.699344839396</v>
      </c>
      <c r="Y40" s="260">
        <f>X41</f>
        <v>3666.0614043178766</v>
      </c>
      <c r="Z40" s="260">
        <f>Y41</f>
        <v>3161.9917292242617</v>
      </c>
      <c r="AA40" s="260">
        <f>Z41</f>
        <v>2920.316654778565</v>
      </c>
      <c r="AB40" s="261">
        <f>W41</f>
        <v>3252.699344839396</v>
      </c>
      <c r="AC40" s="260">
        <f>+AB41</f>
        <v>3516.2664206510908</v>
      </c>
      <c r="AD40" s="260">
        <f>AC41</f>
        <v>4310.8334032023095</v>
      </c>
      <c r="AE40" s="260">
        <f>AD41</f>
        <v>4069.7974787335893</v>
      </c>
      <c r="AF40" s="260">
        <f>AE41</f>
        <v>4102.1196225674075</v>
      </c>
      <c r="AG40" s="261">
        <f>AB41</f>
        <v>3516.2664206510908</v>
      </c>
      <c r="AH40" s="260">
        <f>+AG41</f>
        <v>4645.1767963144248</v>
      </c>
      <c r="AI40" s="260">
        <f>AH41</f>
        <v>5516.6280277849673</v>
      </c>
      <c r="AJ40" s="260">
        <f>AI41</f>
        <v>5277.3461012798416</v>
      </c>
      <c r="AK40" s="260">
        <f>AJ41</f>
        <v>5631.8755560345362</v>
      </c>
      <c r="AL40" s="261">
        <f>AG41</f>
        <v>4645.1767963144248</v>
      </c>
      <c r="AM40" s="260">
        <f>+AL41</f>
        <v>1429.0310091872861</v>
      </c>
      <c r="AN40" s="260">
        <f>AM41</f>
        <v>2312.8869300984857</v>
      </c>
      <c r="AO40" s="260">
        <f>AN41</f>
        <v>1932.079440461963</v>
      </c>
      <c r="AP40" s="260">
        <f>AO41</f>
        <v>1982.4038353483024</v>
      </c>
      <c r="AQ40" s="261">
        <f>AL41</f>
        <v>1429.0310091872861</v>
      </c>
      <c r="AR40" s="260">
        <f>+AQ41</f>
        <v>2708.5814669353776</v>
      </c>
      <c r="AS40" s="260">
        <f>AR41</f>
        <v>3795.6241271793197</v>
      </c>
      <c r="AT40" s="260">
        <f>AS41</f>
        <v>3498.838612579716</v>
      </c>
      <c r="AU40" s="260">
        <f>AT41</f>
        <v>3673.1641628517177</v>
      </c>
      <c r="AV40" s="261">
        <f>AQ41</f>
        <v>2708.5814669353776</v>
      </c>
    </row>
    <row r="41" spans="2:48" outlineLevel="1" x14ac:dyDescent="0.3">
      <c r="B41" s="480" t="s">
        <v>299</v>
      </c>
      <c r="C41" s="481"/>
      <c r="D41" s="116">
        <f>+D40+D39+0.1</f>
        <v>4761.6000000000004</v>
      </c>
      <c r="E41" s="116">
        <f>+E40+E39</f>
        <v>2055.1000000000004</v>
      </c>
      <c r="F41" s="116">
        <f>+F40+F39</f>
        <v>4763.4000000000015</v>
      </c>
      <c r="G41" s="116">
        <f>+G40+G39</f>
        <v>2686.6000000000022</v>
      </c>
      <c r="H41" s="150">
        <f>+D40+H39</f>
        <v>2686.5000000000055</v>
      </c>
      <c r="I41" s="116">
        <f>+I40+I39+0.1</f>
        <v>3040.5000000000036</v>
      </c>
      <c r="J41" s="116">
        <f>+J40+J39</f>
        <v>2572.3000000000029</v>
      </c>
      <c r="K41" s="116">
        <f>+K40+K39</f>
        <v>3965.9000000000042</v>
      </c>
      <c r="L41" s="21">
        <f>+L40+L39</f>
        <v>4350.900000000006</v>
      </c>
      <c r="M41" s="22">
        <f>+I40+M39</f>
        <v>4350.8000000000102</v>
      </c>
      <c r="N41" s="21">
        <f>+N40+N39</f>
        <v>5028.00000000001</v>
      </c>
      <c r="O41" s="21">
        <f>+O40+O39</f>
        <v>3880.6000000000104</v>
      </c>
      <c r="P41" s="21">
        <f>+P40+P39</f>
        <v>4753.1000000000095</v>
      </c>
      <c r="Q41" s="21">
        <f>+Q40+Q39</f>
        <v>6455.7000000000089</v>
      </c>
      <c r="R41" s="22">
        <f>+N40+R39</f>
        <v>6455.700000000008</v>
      </c>
      <c r="S41" s="21">
        <f>+S40+S39</f>
        <v>3969.4000000000078</v>
      </c>
      <c r="T41" s="21">
        <f>+T40+T39</f>
        <v>3913.4000000000083</v>
      </c>
      <c r="U41" s="21">
        <f>+U40+U39</f>
        <v>3177.5000000000073</v>
      </c>
      <c r="V41" s="21">
        <f>+V40+V39</f>
        <v>3252.6993448393941</v>
      </c>
      <c r="W41" s="22">
        <f>+S40+W39</f>
        <v>3252.699344839396</v>
      </c>
      <c r="X41" s="21">
        <f>+X40+X39</f>
        <v>3666.0614043178766</v>
      </c>
      <c r="Y41" s="21">
        <f>+Y40+Y39</f>
        <v>3161.9917292242617</v>
      </c>
      <c r="Z41" s="21">
        <f>+Z40+Z39</f>
        <v>2920.316654778565</v>
      </c>
      <c r="AA41" s="21">
        <f>+AA40+AA39</f>
        <v>3516.2664206510899</v>
      </c>
      <c r="AB41" s="22">
        <f>+X40+AB39</f>
        <v>3516.2664206510908</v>
      </c>
      <c r="AC41" s="21">
        <f>+AC40+AC39</f>
        <v>4310.8334032023095</v>
      </c>
      <c r="AD41" s="21">
        <f>+AD40+AD39</f>
        <v>4069.7974787335893</v>
      </c>
      <c r="AE41" s="21">
        <f>+AE40+AE39</f>
        <v>4102.1196225674075</v>
      </c>
      <c r="AF41" s="21">
        <f>+AF40+AF39</f>
        <v>4645.1767963144257</v>
      </c>
      <c r="AG41" s="22">
        <f>+AC40+AG39</f>
        <v>4645.1767963144248</v>
      </c>
      <c r="AH41" s="21">
        <f>+AH40+AH39</f>
        <v>5516.6280277849673</v>
      </c>
      <c r="AI41" s="21">
        <f>+AI40+AI39</f>
        <v>5277.3461012798416</v>
      </c>
      <c r="AJ41" s="21">
        <f>+AJ40+AJ39</f>
        <v>5631.8755560345362</v>
      </c>
      <c r="AK41" s="21">
        <f>+AK40+AK39</f>
        <v>1429.0310091872861</v>
      </c>
      <c r="AL41" s="22">
        <f>+AH40+AL39</f>
        <v>1429.0310091872861</v>
      </c>
      <c r="AM41" s="21">
        <f>+AM40+AM39</f>
        <v>2312.8869300984857</v>
      </c>
      <c r="AN41" s="21">
        <f>+AN40+AN39</f>
        <v>1932.079440461963</v>
      </c>
      <c r="AO41" s="21">
        <f>+AO40+AO39</f>
        <v>1982.4038353483024</v>
      </c>
      <c r="AP41" s="21">
        <f>+AP40+AP39</f>
        <v>2708.5814669353776</v>
      </c>
      <c r="AQ41" s="22">
        <f>+AM40+AQ39</f>
        <v>2708.5814669353776</v>
      </c>
      <c r="AR41" s="21">
        <f>+AR40+AR39</f>
        <v>3795.6241271793197</v>
      </c>
      <c r="AS41" s="21">
        <f>+AS40+AS39</f>
        <v>3498.838612579716</v>
      </c>
      <c r="AT41" s="21">
        <f>+AT40+AT39</f>
        <v>3673.1641628517177</v>
      </c>
      <c r="AU41" s="21">
        <f>+AU40+AU39</f>
        <v>4472.886881030654</v>
      </c>
      <c r="AV41" s="22">
        <f>+AR40+AV39</f>
        <v>4472.8868810306558</v>
      </c>
    </row>
    <row r="42" spans="2:48" s="23" customFormat="1" outlineLevel="1" x14ac:dyDescent="0.3">
      <c r="B42" s="482" t="s">
        <v>300</v>
      </c>
      <c r="C42" s="483"/>
      <c r="D42" s="321"/>
      <c r="E42" s="321"/>
      <c r="F42" s="321"/>
      <c r="G42" s="321"/>
      <c r="H42" s="342"/>
      <c r="I42" s="321"/>
      <c r="J42" s="321"/>
      <c r="K42" s="321"/>
      <c r="L42" s="321"/>
      <c r="M42" s="342"/>
      <c r="N42" s="321"/>
      <c r="O42" s="321"/>
      <c r="P42" s="321"/>
      <c r="Q42" s="321"/>
      <c r="R42" s="342"/>
      <c r="S42" s="321"/>
      <c r="T42" s="321"/>
      <c r="U42" s="321"/>
      <c r="V42" s="321"/>
      <c r="W42" s="342"/>
      <c r="X42" s="321"/>
      <c r="Y42" s="321"/>
      <c r="Z42" s="321"/>
      <c r="AA42" s="321"/>
      <c r="AB42" s="342"/>
      <c r="AC42" s="321"/>
      <c r="AD42" s="321"/>
      <c r="AE42" s="321"/>
      <c r="AF42" s="321"/>
      <c r="AG42" s="342"/>
      <c r="AH42" s="321"/>
      <c r="AI42" s="321"/>
      <c r="AJ42" s="321"/>
      <c r="AK42" s="321"/>
      <c r="AL42" s="342"/>
      <c r="AM42" s="321"/>
      <c r="AN42" s="321"/>
      <c r="AO42" s="321"/>
      <c r="AP42" s="321"/>
      <c r="AQ42" s="342"/>
      <c r="AR42" s="321"/>
      <c r="AS42" s="321"/>
      <c r="AT42" s="321"/>
      <c r="AU42" s="321"/>
      <c r="AV42" s="342"/>
    </row>
    <row r="43" spans="2:48" s="23" customFormat="1" outlineLevel="1" x14ac:dyDescent="0.3">
      <c r="B43" s="325" t="s">
        <v>301</v>
      </c>
      <c r="C43" s="326"/>
      <c r="D43" s="327"/>
      <c r="E43" s="327"/>
      <c r="F43" s="343"/>
      <c r="G43" s="327"/>
      <c r="H43" s="328"/>
      <c r="I43" s="327"/>
      <c r="J43" s="327"/>
      <c r="K43" s="327"/>
      <c r="L43" s="327"/>
      <c r="M43" s="328"/>
      <c r="N43" s="327"/>
      <c r="O43" s="327"/>
      <c r="P43" s="327"/>
      <c r="Q43" s="327"/>
      <c r="R43" s="328"/>
      <c r="S43" s="327"/>
      <c r="T43" s="327"/>
      <c r="U43" s="327"/>
      <c r="V43" s="327"/>
      <c r="W43" s="328"/>
      <c r="X43" s="327"/>
      <c r="Y43" s="327"/>
      <c r="Z43" s="327"/>
      <c r="AA43" s="327"/>
      <c r="AB43" s="328"/>
      <c r="AC43" s="327"/>
      <c r="AD43" s="327"/>
      <c r="AE43" s="327"/>
      <c r="AF43" s="327"/>
      <c r="AG43" s="328"/>
      <c r="AH43" s="327"/>
      <c r="AI43" s="327"/>
      <c r="AJ43" s="327"/>
      <c r="AK43" s="327"/>
      <c r="AL43" s="328"/>
      <c r="AM43" s="327"/>
      <c r="AN43" s="327"/>
      <c r="AO43" s="327"/>
      <c r="AP43" s="327"/>
      <c r="AQ43" s="328"/>
      <c r="AR43" s="327"/>
      <c r="AS43" s="327"/>
      <c r="AT43" s="327"/>
      <c r="AU43" s="327"/>
      <c r="AV43" s="328"/>
    </row>
    <row r="44" spans="2:48" s="23" customFormat="1" outlineLevel="1" x14ac:dyDescent="0.3">
      <c r="B44" s="484" t="s">
        <v>302</v>
      </c>
      <c r="C44" s="485"/>
      <c r="D44" s="344"/>
      <c r="E44" s="344"/>
      <c r="F44" s="344"/>
      <c r="G44" s="344"/>
      <c r="H44" s="345"/>
      <c r="I44" s="344"/>
      <c r="J44" s="344"/>
      <c r="K44" s="344"/>
      <c r="L44" s="344"/>
      <c r="M44" s="345"/>
      <c r="N44" s="344"/>
      <c r="O44" s="344"/>
      <c r="P44" s="344"/>
      <c r="Q44" s="344"/>
      <c r="R44" s="345"/>
      <c r="S44" s="344"/>
      <c r="T44" s="344"/>
      <c r="U44" s="344"/>
      <c r="V44" s="344"/>
      <c r="W44" s="345"/>
      <c r="X44" s="344"/>
      <c r="Y44" s="344"/>
      <c r="Z44" s="344"/>
      <c r="AA44" s="344"/>
      <c r="AB44" s="345"/>
      <c r="AC44" s="344"/>
      <c r="AD44" s="344"/>
      <c r="AE44" s="344"/>
      <c r="AF44" s="344"/>
      <c r="AG44" s="345"/>
      <c r="AH44" s="344"/>
      <c r="AI44" s="344"/>
      <c r="AJ44" s="344"/>
      <c r="AK44" s="344"/>
      <c r="AL44" s="345"/>
      <c r="AM44" s="344"/>
      <c r="AN44" s="344"/>
      <c r="AO44" s="344"/>
      <c r="AP44" s="344"/>
      <c r="AQ44" s="345"/>
      <c r="AR44" s="344"/>
      <c r="AS44" s="344"/>
      <c r="AT44" s="344"/>
      <c r="AU44" s="344"/>
      <c r="AV44" s="345"/>
    </row>
    <row r="45" spans="2:48" outlineLevel="1" x14ac:dyDescent="0.3">
      <c r="B45" s="250" t="s">
        <v>303</v>
      </c>
      <c r="C45" s="249"/>
      <c r="D45" s="334"/>
      <c r="E45" s="334"/>
      <c r="F45" s="334"/>
      <c r="G45" s="334"/>
      <c r="H45" s="335"/>
      <c r="I45" s="334"/>
      <c r="J45" s="334"/>
      <c r="K45" s="334"/>
      <c r="L45" s="334"/>
      <c r="M45" s="335"/>
      <c r="N45" s="334"/>
      <c r="O45" s="334"/>
      <c r="P45" s="334"/>
      <c r="Q45" s="334"/>
      <c r="R45" s="335"/>
      <c r="S45" s="334"/>
      <c r="T45" s="334"/>
      <c r="U45" s="334"/>
      <c r="V45" s="334"/>
      <c r="W45" s="335"/>
      <c r="X45" s="334"/>
      <c r="Y45" s="334"/>
      <c r="Z45" s="334"/>
      <c r="AA45" s="334"/>
      <c r="AB45" s="335"/>
      <c r="AC45" s="334"/>
      <c r="AD45" s="334"/>
      <c r="AE45" s="334"/>
      <c r="AF45" s="334"/>
      <c r="AG45" s="335"/>
      <c r="AH45" s="334"/>
      <c r="AI45" s="334"/>
      <c r="AJ45" s="334"/>
      <c r="AK45" s="334"/>
      <c r="AL45" s="335"/>
      <c r="AM45" s="334"/>
      <c r="AN45" s="334"/>
      <c r="AO45" s="334"/>
      <c r="AP45" s="334"/>
      <c r="AQ45" s="335"/>
      <c r="AR45" s="334"/>
      <c r="AS45" s="334"/>
      <c r="AT45" s="334"/>
      <c r="AU45" s="334"/>
      <c r="AV45" s="335"/>
    </row>
    <row r="46" spans="2:48" outlineLevel="1" x14ac:dyDescent="0.3">
      <c r="B46" s="200" t="s">
        <v>304</v>
      </c>
      <c r="C46" s="201"/>
      <c r="D46" s="16">
        <f>+'Balance Sheet'!D6+'Balance Sheet'!D7+'Balance Sheet'!D12</f>
        <v>5256.8</v>
      </c>
      <c r="E46" s="16">
        <f>+'Balance Sheet'!E6+'Balance Sheet'!E7+'Balance Sheet'!E12</f>
        <v>2383.6000000000004</v>
      </c>
      <c r="F46" s="16">
        <f>+'Balance Sheet'!F6+'Balance Sheet'!F7+'Balance Sheet'!F12</f>
        <v>5058.1000000000022</v>
      </c>
      <c r="G46" s="16">
        <f>+'Balance Sheet'!G6+'Balance Sheet'!G7+'Balance Sheet'!G12</f>
        <v>2977.1000000000022</v>
      </c>
      <c r="H46" s="17">
        <f>+'Balance Sheet'!H6+'Balance Sheet'!H7+'Balance Sheet'!H12</f>
        <v>2977.1000000000022</v>
      </c>
      <c r="I46" s="16">
        <f>+'Balance Sheet'!I6+'Balance Sheet'!I7+'Balance Sheet'!I12</f>
        <v>3308.7000000000039</v>
      </c>
      <c r="J46" s="16">
        <f>+'Balance Sheet'!J6+'Balance Sheet'!J7+'Balance Sheet'!J12</f>
        <v>2824.0000000000032</v>
      </c>
      <c r="K46" s="16">
        <f>+'Balance Sheet'!K6+'Balance Sheet'!K7+'Balance Sheet'!K12</f>
        <v>4419.2000000000035</v>
      </c>
      <c r="L46" s="16">
        <f>+'Balance Sheet'!L6+'Balance Sheet'!L7+'Balance Sheet'!L12</f>
        <v>4838.2000000000062</v>
      </c>
      <c r="M46" s="17">
        <f>+'Balance Sheet'!M6+'Balance Sheet'!M7+'Balance Sheet'!M12</f>
        <v>4838.2000000000062</v>
      </c>
      <c r="N46" s="16">
        <f>+'Balance Sheet'!N6+'Balance Sheet'!N7+'Balance Sheet'!N12</f>
        <v>5454.4000000000096</v>
      </c>
      <c r="O46" s="16">
        <f>+'Balance Sheet'!O6+'Balance Sheet'!O7+'Balance Sheet'!O12</f>
        <v>4288.4000000000106</v>
      </c>
      <c r="P46" s="16">
        <f>+'Balance Sheet'!P6+'Balance Sheet'!P7+'Balance Sheet'!P12</f>
        <v>5192.6000000000095</v>
      </c>
      <c r="Q46" s="16">
        <f>+'Balance Sheet'!Q6+'Balance Sheet'!Q7+'Balance Sheet'!Q12</f>
        <v>6899.6000000000085</v>
      </c>
      <c r="R46" s="17">
        <f>+'Balance Sheet'!R6+'Balance Sheet'!R7+'Balance Sheet'!R12</f>
        <v>6899.6000000000085</v>
      </c>
      <c r="S46" s="16">
        <f>+'Balance Sheet'!S6+'Balance Sheet'!S7+'Balance Sheet'!S12</f>
        <v>4356.4000000000078</v>
      </c>
      <c r="T46" s="16">
        <f>+'Balance Sheet'!T6+'Balance Sheet'!T7+'Balance Sheet'!T12</f>
        <v>4281.1000000000085</v>
      </c>
      <c r="U46" s="16">
        <f>+'Balance Sheet'!U6+'Balance Sheet'!U7+'Balance Sheet'!U12</f>
        <v>3546.9000000000074</v>
      </c>
      <c r="V46" s="16">
        <f>+'Balance Sheet'!V6+'Balance Sheet'!V7+'Balance Sheet'!V12</f>
        <v>3626.225344197559</v>
      </c>
      <c r="W46" s="17">
        <f>+'Balance Sheet'!W6+'Balance Sheet'!W7+'Balance Sheet'!W12</f>
        <v>3626.225344197559</v>
      </c>
      <c r="X46" s="16">
        <f>+'Balance Sheet'!X6+'Balance Sheet'!X7+'Balance Sheet'!X12</f>
        <v>4043.9148887454353</v>
      </c>
      <c r="Y46" s="16">
        <f>+'Balance Sheet'!Y6+'Balance Sheet'!Y7+'Balance Sheet'!Y12</f>
        <v>3535.8822286682098</v>
      </c>
      <c r="Z46" s="16">
        <f>+'Balance Sheet'!Z6+'Balance Sheet'!Z7+'Balance Sheet'!Z12</f>
        <v>3305.4076387523319</v>
      </c>
      <c r="AA46" s="16">
        <f>+'Balance Sheet'!AA6+'Balance Sheet'!AA7+'Balance Sheet'!AA12</f>
        <v>3905.6160177644697</v>
      </c>
      <c r="AB46" s="17">
        <f>+'Balance Sheet'!AB6+'Balance Sheet'!AB7+'Balance Sheet'!AB12</f>
        <v>3905.6160177644697</v>
      </c>
      <c r="AC46" s="16">
        <f>+'Balance Sheet'!AC6+'Balance Sheet'!AC7+'Balance Sheet'!AC12</f>
        <v>4713.9766208429646</v>
      </c>
      <c r="AD46" s="16">
        <f>+'Balance Sheet'!AD6+'Balance Sheet'!AD7+'Balance Sheet'!AD12</f>
        <v>4472.3361063329567</v>
      </c>
      <c r="AE46" s="16">
        <f>+'Balance Sheet'!AE6+'Balance Sheet'!AE7+'Balance Sheet'!AE12</f>
        <v>4513.9075372116513</v>
      </c>
      <c r="AF46" s="16">
        <f>+'Balance Sheet'!AF6+'Balance Sheet'!AF7+'Balance Sheet'!AF12</f>
        <v>5062.2489304894407</v>
      </c>
      <c r="AG46" s="17">
        <f>+'Balance Sheet'!AG6+'Balance Sheet'!AG7+'Balance Sheet'!AG12</f>
        <v>5062.2489304894407</v>
      </c>
      <c r="AH46" s="16">
        <f>+'Balance Sheet'!AH6+'Balance Sheet'!AH7+'Balance Sheet'!AH12</f>
        <v>5949.7993810327598</v>
      </c>
      <c r="AI46" s="16">
        <f>+'Balance Sheet'!AI6+'Balance Sheet'!AI7+'Balance Sheet'!AI12</f>
        <v>5710.3720273195531</v>
      </c>
      <c r="AJ46" s="16">
        <f>+'Balance Sheet'!AJ6+'Balance Sheet'!AJ7+'Balance Sheet'!AJ12</f>
        <v>6080.0142143794446</v>
      </c>
      <c r="AK46" s="16">
        <f>+'Balance Sheet'!AK6+'Balance Sheet'!AK7+'Balance Sheet'!AK12</f>
        <v>1816.1051489336953</v>
      </c>
      <c r="AL46" s="17">
        <f>+'Balance Sheet'!AL6+'Balance Sheet'!AL7+'Balance Sheet'!AL12</f>
        <v>1816.1051489336953</v>
      </c>
      <c r="AM46" s="16">
        <f>+'Balance Sheet'!AM6+'Balance Sheet'!AM7+'Balance Sheet'!AM12</f>
        <v>2715.4724177346966</v>
      </c>
      <c r="AN46" s="16">
        <f>+'Balance Sheet'!AN6+'Balance Sheet'!AN7+'Balance Sheet'!AN12</f>
        <v>2332.4359429143842</v>
      </c>
      <c r="AO46" s="16">
        <f>+'Balance Sheet'!AO6+'Balance Sheet'!AO7+'Balance Sheet'!AO12</f>
        <v>2394.4825884515126</v>
      </c>
      <c r="AP46" s="16">
        <f>+'Balance Sheet'!AP6+'Balance Sheet'!AP7+'Balance Sheet'!AP12</f>
        <v>3126.2426630811383</v>
      </c>
      <c r="AQ46" s="17">
        <f>+'Balance Sheet'!AQ6+'Balance Sheet'!AQ7+'Balance Sheet'!AQ12</f>
        <v>3126.2426630811383</v>
      </c>
      <c r="AR46" s="16">
        <f>+'Balance Sheet'!AR6+'Balance Sheet'!AR7+'Balance Sheet'!AR12</f>
        <v>4230.9290508154518</v>
      </c>
      <c r="AS46" s="16">
        <f>+'Balance Sheet'!AS6+'Balance Sheet'!AS7+'Balance Sheet'!AS12</f>
        <v>3932.9284754008504</v>
      </c>
      <c r="AT46" s="16">
        <f>+'Balance Sheet'!AT6+'Balance Sheet'!AT7+'Balance Sheet'!AT12</f>
        <v>4120.5090465452677</v>
      </c>
      <c r="AU46" s="16">
        <f>+'Balance Sheet'!AU6+'Balance Sheet'!AU7+'Balance Sheet'!AU12</f>
        <v>4927.1183181816714</v>
      </c>
      <c r="AV46" s="17">
        <f>+'Balance Sheet'!AV6+'Balance Sheet'!AV7+'Balance Sheet'!AV12</f>
        <v>4927.1183181816714</v>
      </c>
    </row>
    <row r="47" spans="2:48" outlineLevel="1" x14ac:dyDescent="0.3">
      <c r="B47" s="200" t="s">
        <v>305</v>
      </c>
      <c r="C47" s="201"/>
      <c r="D47" s="16">
        <f>'Balance Sheet'!D28+'Balance Sheet'!D31</f>
        <v>9130.7000000000007</v>
      </c>
      <c r="E47" s="16">
        <f>'Balance Sheet'!E28+'Balance Sheet'!E31</f>
        <v>9216.5</v>
      </c>
      <c r="F47" s="16">
        <f>'Balance Sheet'!F28+'Balance Sheet'!F31</f>
        <v>11159.1</v>
      </c>
      <c r="G47" s="16">
        <f>'Balance Sheet'!G28+'Balance Sheet'!G31</f>
        <v>11167</v>
      </c>
      <c r="H47" s="17">
        <f>'Balance Sheet'!H28+'Balance Sheet'!H31</f>
        <v>11167</v>
      </c>
      <c r="I47" s="16">
        <f>'Balance Sheet'!I28+'Balance Sheet'!I31</f>
        <v>11649.800000000001</v>
      </c>
      <c r="J47" s="16">
        <f>'Balance Sheet'!J28+'Balance Sheet'!J31</f>
        <v>14015.2</v>
      </c>
      <c r="K47" s="16">
        <f>'Balance Sheet'!K28+'Balance Sheet'!K31</f>
        <v>16831.7</v>
      </c>
      <c r="L47" s="16">
        <f>'Balance Sheet'!L28+'Balance Sheet'!L31</f>
        <v>16348.300000000001</v>
      </c>
      <c r="M47" s="17">
        <f>'Balance Sheet'!M28+'Balance Sheet'!M31</f>
        <v>16348.300000000001</v>
      </c>
      <c r="N47" s="16">
        <f>'Balance Sheet'!N28+'Balance Sheet'!N31</f>
        <v>15916.1</v>
      </c>
      <c r="O47" s="16">
        <f>'Balance Sheet'!O28+'Balance Sheet'!O31</f>
        <v>14648.599999999999</v>
      </c>
      <c r="P47" s="16">
        <f>'Balance Sheet'!P28+'Balance Sheet'!P31</f>
        <v>14618.1</v>
      </c>
      <c r="Q47" s="16">
        <f>'Balance Sheet'!Q28+'Balance Sheet'!Q31</f>
        <v>14615.8</v>
      </c>
      <c r="R47" s="17">
        <f>'Balance Sheet'!R28+'Balance Sheet'!R31</f>
        <v>14615.8</v>
      </c>
      <c r="S47" s="16">
        <f>'Balance Sheet'!S28+'Balance Sheet'!S31</f>
        <v>14785.599999999999</v>
      </c>
      <c r="T47" s="16">
        <f>'Balance Sheet'!T28+'Balance Sheet'!T31</f>
        <v>16013</v>
      </c>
      <c r="U47" s="16">
        <f>'Balance Sheet'!U28+'Balance Sheet'!U31</f>
        <v>15129.9</v>
      </c>
      <c r="V47" s="16">
        <f>'Balance Sheet'!V28+'Balance Sheet'!V31</f>
        <v>14930.9</v>
      </c>
      <c r="W47" s="17">
        <f>'Balance Sheet'!W28+'Balance Sheet'!W31</f>
        <v>14930.9</v>
      </c>
      <c r="X47" s="16">
        <f>'Balance Sheet'!X28+'Balance Sheet'!X31</f>
        <v>14930.9</v>
      </c>
      <c r="Y47" s="16">
        <f>'Balance Sheet'!Y28+'Balance Sheet'!Y31</f>
        <v>14930.9</v>
      </c>
      <c r="Z47" s="16">
        <f>'Balance Sheet'!Z28+'Balance Sheet'!Z31</f>
        <v>14930.9</v>
      </c>
      <c r="AA47" s="16">
        <f>'Balance Sheet'!AA28+'Balance Sheet'!AA31</f>
        <v>14930.9</v>
      </c>
      <c r="AB47" s="17">
        <f>'Balance Sheet'!AB28+'Balance Sheet'!AB31</f>
        <v>14930.9</v>
      </c>
      <c r="AC47" s="16">
        <f>'Balance Sheet'!AC28+'Balance Sheet'!AC31</f>
        <v>14930.9</v>
      </c>
      <c r="AD47" s="16">
        <f>'Balance Sheet'!AD28+'Balance Sheet'!AD31</f>
        <v>14930.6</v>
      </c>
      <c r="AE47" s="16">
        <f>'Balance Sheet'!AE28+'Balance Sheet'!AE31</f>
        <v>14930.6</v>
      </c>
      <c r="AF47" s="16">
        <f>'Balance Sheet'!AF28+'Balance Sheet'!AF31</f>
        <v>15030.6</v>
      </c>
      <c r="AG47" s="17">
        <f>'Balance Sheet'!AG28+'Balance Sheet'!AG31</f>
        <v>15030.6</v>
      </c>
      <c r="AH47" s="16">
        <f>'Balance Sheet'!AH28+'Balance Sheet'!AH31</f>
        <v>15030.6</v>
      </c>
      <c r="AI47" s="16">
        <f>'Balance Sheet'!AI28+'Balance Sheet'!AI31</f>
        <v>15030.6</v>
      </c>
      <c r="AJ47" s="16">
        <f>'Balance Sheet'!AJ28+'Balance Sheet'!AJ31</f>
        <v>20321.198382851078</v>
      </c>
      <c r="AK47" s="16">
        <f>'Balance Sheet'!AK28+'Balance Sheet'!AK31</f>
        <v>20321.198382851078</v>
      </c>
      <c r="AL47" s="17">
        <f>'Balance Sheet'!AL28+'Balance Sheet'!AL31</f>
        <v>20321.198382851078</v>
      </c>
      <c r="AM47" s="16">
        <f>'Balance Sheet'!AM28+'Balance Sheet'!AM31</f>
        <v>20321.198382851078</v>
      </c>
      <c r="AN47" s="16">
        <f>'Balance Sheet'!AN28+'Balance Sheet'!AN31</f>
        <v>20321.198382851078</v>
      </c>
      <c r="AO47" s="16">
        <f>'Balance Sheet'!AO28+'Balance Sheet'!AO31</f>
        <v>20321.198382851078</v>
      </c>
      <c r="AP47" s="16">
        <f>'Balance Sheet'!AP28+'Balance Sheet'!AP31</f>
        <v>20321.198382851078</v>
      </c>
      <c r="AQ47" s="17">
        <f>'Balance Sheet'!AQ28+'Balance Sheet'!AQ31</f>
        <v>20321.198382851078</v>
      </c>
      <c r="AR47" s="16">
        <f>'Balance Sheet'!AR28+'Balance Sheet'!AR31</f>
        <v>20321.198382851078</v>
      </c>
      <c r="AS47" s="16">
        <f>'Balance Sheet'!AS28+'Balance Sheet'!AS31</f>
        <v>20321.198382851078</v>
      </c>
      <c r="AT47" s="16">
        <f>'Balance Sheet'!AT28+'Balance Sheet'!AT31</f>
        <v>20321.198382851078</v>
      </c>
      <c r="AU47" s="16">
        <f>'Balance Sheet'!AU28+'Balance Sheet'!AU31</f>
        <v>20321.198382851078</v>
      </c>
      <c r="AV47" s="17">
        <f>'Balance Sheet'!AV28+'Balance Sheet'!AV31</f>
        <v>20321.198382851078</v>
      </c>
    </row>
    <row r="48" spans="2:48" outlineLevel="1" x14ac:dyDescent="0.3">
      <c r="B48" s="486" t="s">
        <v>306</v>
      </c>
      <c r="C48" s="487"/>
      <c r="D48" s="346">
        <f>(D46-D47)/'Income Statement &amp; Segments'!D31</f>
        <v>-3.0907132599329823</v>
      </c>
      <c r="E48" s="346">
        <f>(E46-E47)/'Income Statement &amp; Segments'!E31</f>
        <v>-5.4632605740785154</v>
      </c>
      <c r="F48" s="346">
        <f>(F46-F47)/'Income Statement &amp; Segments'!F31</f>
        <v>-4.9885527391659839</v>
      </c>
      <c r="G48" s="346">
        <f>(G46-G47)/'Income Statement &amp; Segments'!G31</f>
        <v>-6.6975821179389685</v>
      </c>
      <c r="H48" s="347">
        <f>(H46-H47)/'Income Statement &amp; Segments'!H31</f>
        <v>-6.6411774245864397</v>
      </c>
      <c r="I48" s="346">
        <f>(I46-I47)/'Income Statement &amp; Segments'!I31</f>
        <v>-7.0034424853064623</v>
      </c>
      <c r="J48" s="346">
        <f>(J46-J47)/'Income Statement &amp; Segments'!J31</f>
        <v>-9.4784449902600123</v>
      </c>
      <c r="K48" s="346">
        <f>(K46-K47)/'Income Statement &amp; Segments'!K31</f>
        <v>-10.62259306803594</v>
      </c>
      <c r="L48" s="346">
        <f>(L46-L47)/'Income Statement &amp; Segments'!L31</f>
        <v>-9.7625954198473242</v>
      </c>
      <c r="M48" s="347">
        <f>(M46-M47)/'Income Statement &amp; Segments'!M31</f>
        <v>-9.6019593007244595</v>
      </c>
      <c r="N48" s="346">
        <f>(N46-N47)/'Income Statement &amp; Segments'!N31</f>
        <v>-8.8433643279797032</v>
      </c>
      <c r="O48" s="346">
        <f>(O46-O47)/'Income Statement &amp; Segments'!O31</f>
        <v>-8.7442606347062704</v>
      </c>
      <c r="P48" s="346">
        <f>(P46-P47)/'Income Statement &amp; Segments'!P31</f>
        <v>-7.9459618951272892</v>
      </c>
      <c r="Q48" s="346">
        <f>(Q46-Q47)/'Income Statement &amp; Segments'!Q31</f>
        <v>-6.4956646182338496</v>
      </c>
      <c r="R48" s="347">
        <f>(R46-R47)/'Income Statement &amp; Segments'!R31</f>
        <v>-6.504862503325251</v>
      </c>
      <c r="S48" s="346">
        <f>(S46-S47)/'Income Statement &amp; Segments'!S31</f>
        <v>-8.8638449770525156</v>
      </c>
      <c r="T48" s="346">
        <f>(T46-T47)/'Income Statement &amp; Segments'!T31</f>
        <v>-10.167172198630722</v>
      </c>
      <c r="U48" s="346">
        <f>(U46-U47)/'Income Statement &amp; Segments'!U31</f>
        <v>-10.06342311033883</v>
      </c>
      <c r="V48" s="346">
        <f>(V46-V47)/'Income Statement &amp; Segments'!V31</f>
        <v>-9.8117995434647387</v>
      </c>
      <c r="W48" s="347">
        <f>(W46-W47)/'Income Statement &amp; Segments'!W31</f>
        <v>-9.7581506396475532</v>
      </c>
      <c r="X48" s="346">
        <f>(X46-X47)/'Income Statement &amp; Segments'!X31</f>
        <v>-9.4398295034698716</v>
      </c>
      <c r="Y48" s="346">
        <f>(Y46-Y47)/'Income Statement &amp; Segments'!Y31</f>
        <v>-9.8704613156776162</v>
      </c>
      <c r="Z48" s="346">
        <f>(Z46-Z47)/'Income Statement &amp; Segments'!Z31</f>
        <v>-10.060040325475839</v>
      </c>
      <c r="AA48" s="346">
        <f>(AA46-AA47)/'Income Statement &amp; Segments'!AA31</f>
        <v>-9.5311229856381736</v>
      </c>
      <c r="AB48" s="347">
        <f>(AB46-AB47)/'Income Statement &amp; Segments'!AB31</f>
        <v>-9.544052897566921</v>
      </c>
      <c r="AC48" s="346">
        <f>(AC46-AC47)/'Income Statement &amp; Segments'!AC31</f>
        <v>-8.8234889864553576</v>
      </c>
      <c r="AD48" s="346">
        <f>(AD46-AD47)/'Income Statement &amp; Segments'!AD31</f>
        <v>-9.0228914000848413</v>
      </c>
      <c r="AE48" s="346">
        <f>(AE46-AE47)/'Income Statement &amp; Segments'!AE31</f>
        <v>-8.9851265798956348</v>
      </c>
      <c r="AF48" s="346">
        <f>(AF46-AF47)/'Income Statement &amp; Segments'!AF31</f>
        <v>-8.5965824501494748</v>
      </c>
      <c r="AG48" s="347">
        <f>(AG46-AG47)/'Income Statement &amp; Segments'!AG31</f>
        <v>-8.6010031298334102</v>
      </c>
      <c r="AH48" s="346">
        <f>(AH46-AH47)/'Income Statement &amp; Segments'!AH31</f>
        <v>-7.8292187517801022</v>
      </c>
      <c r="AI48" s="346">
        <f>(AI46-AI47)/'Income Statement &amp; Segments'!AI31</f>
        <v>-8.0336428533463344</v>
      </c>
      <c r="AJ48" s="346">
        <f>(AJ46-AJ47)/'Income Statement &amp; Segments'!AJ31</f>
        <v>-12.759531412759575</v>
      </c>
      <c r="AK48" s="346">
        <f>(AK46-AK47)/'Income Statement &amp; Segments'!AK31</f>
        <v>-17.261427717773124</v>
      </c>
      <c r="AL48" s="347">
        <f>(AL46-AL47)/'Income Statement &amp; Segments'!AL31</f>
        <v>-16.442390842696405</v>
      </c>
      <c r="AM48" s="346">
        <f>(AM46-AM47)/'Income Statement &amp; Segments'!AM31</f>
        <v>-16.438086278560323</v>
      </c>
      <c r="AN48" s="346">
        <f>(AN46-AN47)/'Income Statement &amp; Segments'!AN31</f>
        <v>-16.811686750078103</v>
      </c>
      <c r="AO48" s="346">
        <f>(AO46-AO47)/'Income Statement &amp; Segments'!AO31</f>
        <v>-16.769658812311746</v>
      </c>
      <c r="AP48" s="346">
        <f>(AP46-AP47)/'Income Statement &amp; Segments'!AP31</f>
        <v>-16.100481120652798</v>
      </c>
      <c r="AQ48" s="347">
        <f>(AQ46-AQ47)/'Income Statement &amp; Segments'!AQ31</f>
        <v>-16.077950911531907</v>
      </c>
      <c r="AR48" s="346">
        <f>(AR46-AR47)/'Income Statement &amp; Segments'!AR31</f>
        <v>-15.079937742500038</v>
      </c>
      <c r="AS48" s="346">
        <f>(AS46-AS47)/'Income Statement &amp; Segments'!AS31</f>
        <v>-15.373351258388739</v>
      </c>
      <c r="AT48" s="346">
        <f>(AT46-AT47)/'Income Statement &amp; Segments'!AT31</f>
        <v>-15.211390340362108</v>
      </c>
      <c r="AU48" s="346">
        <f>(AU46-AU47)/'Income Statement &amp; Segments'!AU31</f>
        <v>-14.467380427558908</v>
      </c>
      <c r="AV48" s="347">
        <f>(AV46-AV47)/'Income Statement &amp; Segments'!AV31</f>
        <v>-14.447799317808673</v>
      </c>
    </row>
    <row r="49" spans="2:48" x14ac:dyDescent="0.3">
      <c r="B49" s="488"/>
      <c r="C49" s="48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row>
    <row r="50" spans="2:48" ht="15.6" x14ac:dyDescent="0.3">
      <c r="B50" s="432" t="s">
        <v>307</v>
      </c>
      <c r="C50" s="433"/>
      <c r="D50" s="13" t="s">
        <v>15</v>
      </c>
      <c r="E50" s="13" t="s">
        <v>82</v>
      </c>
      <c r="F50" s="13" t="s">
        <v>84</v>
      </c>
      <c r="G50" s="13" t="s">
        <v>147</v>
      </c>
      <c r="H50" s="39" t="s">
        <v>147</v>
      </c>
      <c r="I50" s="13" t="s">
        <v>146</v>
      </c>
      <c r="J50" s="13" t="s">
        <v>145</v>
      </c>
      <c r="K50" s="13" t="s">
        <v>144</v>
      </c>
      <c r="L50" s="13" t="s">
        <v>141</v>
      </c>
      <c r="M50" s="39" t="s">
        <v>141</v>
      </c>
      <c r="N50" s="13" t="s">
        <v>148</v>
      </c>
      <c r="O50" s="13" t="s">
        <v>156</v>
      </c>
      <c r="P50" s="13" t="s">
        <v>158</v>
      </c>
      <c r="Q50" s="13" t="s">
        <v>171</v>
      </c>
      <c r="R50" s="39" t="s">
        <v>171</v>
      </c>
      <c r="S50" s="13" t="s">
        <v>187</v>
      </c>
      <c r="T50" s="13" t="s">
        <v>190</v>
      </c>
      <c r="U50" s="13" t="s">
        <v>203</v>
      </c>
      <c r="V50" s="15" t="s">
        <v>20</v>
      </c>
      <c r="W50" s="41" t="s">
        <v>20</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160</v>
      </c>
      <c r="AN50" s="15" t="s">
        <v>161</v>
      </c>
      <c r="AO50" s="15" t="s">
        <v>162</v>
      </c>
      <c r="AP50" s="15" t="s">
        <v>163</v>
      </c>
      <c r="AQ50" s="41" t="s">
        <v>163</v>
      </c>
      <c r="AR50" s="15" t="s">
        <v>191</v>
      </c>
      <c r="AS50" s="15" t="s">
        <v>192</v>
      </c>
      <c r="AT50" s="15" t="s">
        <v>193</v>
      </c>
      <c r="AU50" s="15" t="s">
        <v>194</v>
      </c>
      <c r="AV50" s="41" t="s">
        <v>194</v>
      </c>
    </row>
    <row r="51" spans="2:48" ht="16.2" x14ac:dyDescent="0.45">
      <c r="B51" s="434"/>
      <c r="C51" s="435"/>
      <c r="D51" s="14" t="s">
        <v>19</v>
      </c>
      <c r="E51" s="14" t="s">
        <v>81</v>
      </c>
      <c r="F51" s="14" t="s">
        <v>85</v>
      </c>
      <c r="G51" s="14" t="s">
        <v>95</v>
      </c>
      <c r="H51" s="40" t="s">
        <v>96</v>
      </c>
      <c r="I51" s="14" t="s">
        <v>97</v>
      </c>
      <c r="J51" s="14" t="s">
        <v>98</v>
      </c>
      <c r="K51" s="14" t="s">
        <v>99</v>
      </c>
      <c r="L51" s="14" t="s">
        <v>142</v>
      </c>
      <c r="M51" s="40" t="s">
        <v>143</v>
      </c>
      <c r="N51" s="14" t="s">
        <v>149</v>
      </c>
      <c r="O51" s="14" t="s">
        <v>157</v>
      </c>
      <c r="P51" s="14" t="s">
        <v>159</v>
      </c>
      <c r="Q51" s="14" t="s">
        <v>172</v>
      </c>
      <c r="R51" s="40" t="s">
        <v>173</v>
      </c>
      <c r="S51" s="14" t="s">
        <v>188</v>
      </c>
      <c r="T51" s="14" t="s">
        <v>189</v>
      </c>
      <c r="U51" s="14" t="s">
        <v>204</v>
      </c>
      <c r="V51" s="12" t="s">
        <v>25</v>
      </c>
      <c r="W51" s="42" t="s">
        <v>26</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164</v>
      </c>
      <c r="AN51" s="12" t="s">
        <v>165</v>
      </c>
      <c r="AO51" s="12" t="s">
        <v>166</v>
      </c>
      <c r="AP51" s="12" t="s">
        <v>167</v>
      </c>
      <c r="AQ51" s="42" t="s">
        <v>168</v>
      </c>
      <c r="AR51" s="12" t="s">
        <v>195</v>
      </c>
      <c r="AS51" s="12" t="s">
        <v>196</v>
      </c>
      <c r="AT51" s="12" t="s">
        <v>197</v>
      </c>
      <c r="AU51" s="12" t="s">
        <v>198</v>
      </c>
      <c r="AV51" s="42" t="s">
        <v>199</v>
      </c>
    </row>
    <row r="52" spans="2:48" ht="16.2" outlineLevel="1" x14ac:dyDescent="0.45">
      <c r="B52" s="450" t="s">
        <v>308</v>
      </c>
      <c r="C52" s="451"/>
      <c r="D52" s="349"/>
      <c r="E52" s="349"/>
      <c r="F52" s="349"/>
      <c r="G52" s="349"/>
      <c r="H52" s="350"/>
      <c r="I52" s="349"/>
      <c r="J52" s="349"/>
      <c r="K52" s="349"/>
      <c r="L52" s="349"/>
      <c r="M52" s="350"/>
      <c r="N52" s="349"/>
      <c r="O52" s="349"/>
      <c r="P52" s="349"/>
      <c r="Q52" s="349"/>
      <c r="R52" s="350"/>
      <c r="S52" s="349"/>
      <c r="T52" s="349"/>
      <c r="U52" s="349"/>
      <c r="V52" s="349"/>
      <c r="W52" s="350"/>
      <c r="X52" s="349"/>
      <c r="Y52" s="349"/>
      <c r="Z52" s="349"/>
      <c r="AA52" s="349"/>
      <c r="AB52" s="350"/>
      <c r="AC52" s="349"/>
      <c r="AD52" s="349"/>
      <c r="AE52" s="349"/>
      <c r="AF52" s="349"/>
      <c r="AG52" s="350"/>
      <c r="AH52" s="349"/>
      <c r="AI52" s="349"/>
      <c r="AJ52" s="349"/>
      <c r="AK52" s="349"/>
      <c r="AL52" s="350"/>
      <c r="AM52" s="349"/>
      <c r="AN52" s="349"/>
      <c r="AO52" s="349"/>
      <c r="AP52" s="349"/>
      <c r="AQ52" s="350"/>
      <c r="AR52" s="349"/>
      <c r="AS52" s="349"/>
      <c r="AT52" s="349"/>
      <c r="AU52" s="349"/>
      <c r="AV52" s="350"/>
    </row>
    <row r="53" spans="2:48" s="23" customFormat="1" outlineLevel="1" x14ac:dyDescent="0.3">
      <c r="B53" s="200" t="s">
        <v>309</v>
      </c>
      <c r="C53" s="201"/>
      <c r="D53" s="351">
        <f>D12/'Income Statement &amp; Segments'!D8</f>
        <v>1.4669742337208073E-2</v>
      </c>
      <c r="E53" s="281">
        <f>E12/'Income Statement &amp; Segments'!E8</f>
        <v>1.5033540018078308E-2</v>
      </c>
      <c r="F53" s="113">
        <f>F12/'Income Statement &amp; Segments'!F8</f>
        <v>9.2774439396160081E-3</v>
      </c>
      <c r="G53" s="113">
        <f>G12/'Income Statement &amp; Segments'!G8</f>
        <v>7.7960575070401619E-3</v>
      </c>
      <c r="H53" s="125">
        <f>H12/'Income Statement &amp; Segments'!H8</f>
        <v>1.1618870857004896E-2</v>
      </c>
      <c r="I53" s="113">
        <f>I12/'Income Statement &amp; Segments'!I8</f>
        <v>1.2723506784461259E-2</v>
      </c>
      <c r="J53" s="113">
        <f>J12/'Income Statement &amp; Segments'!J8</f>
        <v>9.3900628783961833E-3</v>
      </c>
      <c r="K53" s="113">
        <f>K12/'Income Statement &amp; Segments'!K8</f>
        <v>9.8055470026763899E-3</v>
      </c>
      <c r="L53" s="113">
        <f>L12/'Income Statement &amp; Segments'!L8</f>
        <v>9.7693088939401224E-3</v>
      </c>
      <c r="M53" s="282">
        <f>M12/'Income Statement &amp; Segments'!M8</f>
        <v>1.0570626753975675E-2</v>
      </c>
      <c r="N53" s="113">
        <f>N12/'Income Statement &amp; Segments'!N8</f>
        <v>1.4712418881678371E-2</v>
      </c>
      <c r="O53" s="113">
        <f>O12/'Income Statement &amp; Segments'!O8</f>
        <v>1.1397720455908821E-2</v>
      </c>
      <c r="P53" s="113">
        <f>P12/'Income Statement &amp; Segments'!P8</f>
        <v>1.0671646768491964E-2</v>
      </c>
      <c r="Q53" s="113">
        <f>Q12/'Income Statement &amp; Segments'!Q8</f>
        <v>7.8313918519155035E-3</v>
      </c>
      <c r="R53" s="282">
        <f>R12/'Income Statement &amp; Segments'!R8</f>
        <v>1.0980502811366593E-2</v>
      </c>
      <c r="S53" s="113">
        <f>S12/'Income Statement &amp; Segments'!S8</f>
        <v>1.1900029812183245E-2</v>
      </c>
      <c r="T53" s="113">
        <f>T12/'Income Statement &amp; Segments'!T8</f>
        <v>6.9935564985069932E-3</v>
      </c>
      <c r="U53" s="113">
        <f>U12/'Income Statement &amp; Segments'!U8</f>
        <v>7.0428583698359517E-3</v>
      </c>
      <c r="V53" s="35">
        <f>AVERAGE(U53,T53,S53,Q53)</f>
        <v>8.4419591331104243E-3</v>
      </c>
      <c r="W53" s="282"/>
      <c r="X53" s="35">
        <f>AVERAGE(V53,U53,T53,S53)</f>
        <v>8.5946009534091546E-3</v>
      </c>
      <c r="Y53" s="35">
        <f>AVERAGE(X53,V53,U53,T53)</f>
        <v>7.7682437387156314E-3</v>
      </c>
      <c r="Z53" s="35">
        <f>AVERAGE(Y53,X53,V53,U53)</f>
        <v>7.9619155487677899E-3</v>
      </c>
      <c r="AA53" s="35">
        <f>AVERAGE(Z53,Y53,X53,V53)</f>
        <v>8.1916798435007487E-3</v>
      </c>
      <c r="AB53" s="282"/>
      <c r="AC53" s="35">
        <f>AVERAGE(AA53,Z53,Y53,X53)</f>
        <v>8.1291100210983298E-3</v>
      </c>
      <c r="AD53" s="35">
        <f>AVERAGE(AC53,AA53,Z53,Y53)</f>
        <v>8.0127372880206254E-3</v>
      </c>
      <c r="AE53" s="35">
        <f>AVERAGE(AD53,AC53,AA53,Z53)</f>
        <v>8.0738606753468726E-3</v>
      </c>
      <c r="AF53" s="35">
        <f>AVERAGE(AE53,AD53,AC53,AA53)</f>
        <v>8.101846956991645E-3</v>
      </c>
      <c r="AG53" s="282"/>
      <c r="AH53" s="35">
        <f>AVERAGE(AF53,AE53,AD53,AC53)</f>
        <v>8.0793887353643699E-3</v>
      </c>
      <c r="AI53" s="35">
        <f>AVERAGE(AH53,AF53,AE53,AD53)</f>
        <v>8.0669584139308782E-3</v>
      </c>
      <c r="AJ53" s="35">
        <f>AVERAGE(AI53,AH53,AF53,AE53)</f>
        <v>8.0805136954084419E-3</v>
      </c>
      <c r="AK53" s="35">
        <f>AVERAGE(AJ53,AI53,AH53,AF53)</f>
        <v>8.0821769504238333E-3</v>
      </c>
      <c r="AL53" s="282"/>
      <c r="AM53" s="35">
        <f>AVERAGE(AK53,AJ53,AI53,AH53)</f>
        <v>8.0772594487818813E-3</v>
      </c>
      <c r="AN53" s="35">
        <f>AVERAGE(AM53,AK53,AJ53,AI53)</f>
        <v>8.0767271271362587E-3</v>
      </c>
      <c r="AO53" s="35">
        <f>AVERAGE(AN53,AM53,AK53,AJ53)</f>
        <v>8.0791693054376047E-3</v>
      </c>
      <c r="AP53" s="35">
        <f>AVERAGE(AO53,AN53,AM53,AK53)</f>
        <v>8.0788332079448945E-3</v>
      </c>
      <c r="AQ53" s="282"/>
      <c r="AR53" s="35">
        <f>AVERAGE(AP53,AO53,AN53,AM53)</f>
        <v>8.0779972723251606E-3</v>
      </c>
      <c r="AS53" s="35">
        <f>AVERAGE(AR53,AP53,AO53,AN53)</f>
        <v>8.0781817282109796E-3</v>
      </c>
      <c r="AT53" s="35">
        <f>AVERAGE(AS53,AR53,AP53,AO53)</f>
        <v>8.0785453784796603E-3</v>
      </c>
      <c r="AU53" s="35">
        <f>AVERAGE(AT53,AS53,AR53,AP53)</f>
        <v>8.0783893967401738E-3</v>
      </c>
      <c r="AV53" s="282"/>
    </row>
    <row r="54" spans="2:48" s="23" customFormat="1" outlineLevel="1" x14ac:dyDescent="0.3">
      <c r="B54" s="200" t="s">
        <v>310</v>
      </c>
      <c r="C54" s="201"/>
      <c r="D54" s="351">
        <f t="shared" ref="D54" si="39">+D10/-D9</f>
        <v>1.1581818181818182</v>
      </c>
      <c r="E54" s="351">
        <f t="shared" ref="E54:U54" si="40">+E10/-E9</f>
        <v>0.55639097744360888</v>
      </c>
      <c r="F54" s="113">
        <f t="shared" si="40"/>
        <v>1.0682852807283763</v>
      </c>
      <c r="G54" s="113">
        <f t="shared" si="40"/>
        <v>0.69411764705882406</v>
      </c>
      <c r="H54" s="125">
        <f t="shared" si="40"/>
        <v>0.86512370311252995</v>
      </c>
      <c r="I54" s="113">
        <f t="shared" si="40"/>
        <v>1.0222575516693164</v>
      </c>
      <c r="J54" s="113">
        <f t="shared" si="40"/>
        <v>0.63295880149812733</v>
      </c>
      <c r="K54" s="113">
        <f t="shared" si="40"/>
        <v>1.0227272727272729</v>
      </c>
      <c r="L54" s="113">
        <f t="shared" si="40"/>
        <v>0.63109756097560987</v>
      </c>
      <c r="M54" s="282">
        <f t="shared" si="40"/>
        <v>0.81118631991449952</v>
      </c>
      <c r="N54" s="113">
        <f t="shared" si="40"/>
        <v>1.1188405797101451</v>
      </c>
      <c r="O54" s="113">
        <f t="shared" si="40"/>
        <v>0.85072231139646837</v>
      </c>
      <c r="P54" s="113">
        <f t="shared" si="40"/>
        <v>0.9018691588785045</v>
      </c>
      <c r="Q54" s="113">
        <f t="shared" si="40"/>
        <v>1.0027522935779816</v>
      </c>
      <c r="R54" s="282">
        <f t="shared" si="40"/>
        <v>0.96746328822343797</v>
      </c>
      <c r="S54" s="113">
        <f t="shared" si="40"/>
        <v>0.96351931330472096</v>
      </c>
      <c r="T54" s="113">
        <f t="shared" si="40"/>
        <v>0.77531206657420249</v>
      </c>
      <c r="U54" s="113">
        <f t="shared" si="40"/>
        <v>0.80106571936056836</v>
      </c>
      <c r="V54" s="35">
        <v>1</v>
      </c>
      <c r="W54" s="282"/>
      <c r="X54" s="35">
        <v>1</v>
      </c>
      <c r="Y54" s="35">
        <v>1</v>
      </c>
      <c r="Z54" s="35">
        <v>1</v>
      </c>
      <c r="AA54" s="35">
        <v>1</v>
      </c>
      <c r="AB54" s="282"/>
      <c r="AC54" s="35">
        <v>1</v>
      </c>
      <c r="AD54" s="35">
        <v>1</v>
      </c>
      <c r="AE54" s="35">
        <v>1</v>
      </c>
      <c r="AF54" s="35">
        <v>1</v>
      </c>
      <c r="AG54" s="282"/>
      <c r="AH54" s="35">
        <v>1</v>
      </c>
      <c r="AI54" s="35">
        <v>1</v>
      </c>
      <c r="AJ54" s="35">
        <v>1</v>
      </c>
      <c r="AK54" s="35">
        <v>1</v>
      </c>
      <c r="AL54" s="282"/>
      <c r="AM54" s="35">
        <v>1</v>
      </c>
      <c r="AN54" s="35">
        <v>1</v>
      </c>
      <c r="AO54" s="35">
        <v>1</v>
      </c>
      <c r="AP54" s="35">
        <v>1</v>
      </c>
      <c r="AQ54" s="282"/>
      <c r="AR54" s="35">
        <v>1</v>
      </c>
      <c r="AS54" s="35">
        <v>1</v>
      </c>
      <c r="AT54" s="35">
        <v>1</v>
      </c>
      <c r="AU54" s="35">
        <v>1</v>
      </c>
      <c r="AV54" s="282"/>
    </row>
    <row r="55" spans="2:48" s="23" customFormat="1" outlineLevel="1" x14ac:dyDescent="0.3">
      <c r="B55" s="436" t="s">
        <v>311</v>
      </c>
      <c r="C55" s="437"/>
      <c r="D55" s="352"/>
      <c r="E55" s="352"/>
      <c r="F55" s="352"/>
      <c r="G55" s="352"/>
      <c r="H55" s="353"/>
      <c r="I55" s="352">
        <f t="shared" ref="I55" si="41">I22/D22-1</f>
        <v>-0.22820512820512895</v>
      </c>
      <c r="J55" s="352">
        <f t="shared" ref="J55" si="42">J22/E22-1</f>
        <v>-4.4869364754098413</v>
      </c>
      <c r="K55" s="352">
        <f t="shared" ref="K55" si="43">K22/F22-1</f>
        <v>-1.314434752864716</v>
      </c>
      <c r="L55" s="352">
        <f t="shared" ref="L55" si="44">L22/G22-1</f>
        <v>0.34527569713924766</v>
      </c>
      <c r="M55" s="353">
        <f t="shared" ref="M55" si="45">M22/H22-1</f>
        <v>-0.68340961778517451</v>
      </c>
      <c r="N55" s="352">
        <f t="shared" ref="N55" si="46">N22/I22-1</f>
        <v>-2.1785305811139466E-4</v>
      </c>
      <c r="O55" s="352">
        <f t="shared" ref="O55" si="47">O22/J22-1</f>
        <v>-1.649232351428781</v>
      </c>
      <c r="P55" s="352">
        <f t="shared" ref="P55" si="48">P22/K22-1</f>
        <v>-5.7565950503127619</v>
      </c>
      <c r="Q55" s="352">
        <f t="shared" ref="Q55" si="49">Q22/L22-1</f>
        <v>2.012477359629572E-2</v>
      </c>
      <c r="R55" s="353">
        <f t="shared" ref="R55" si="50">R22/M22-1</f>
        <v>2.7484040555764064</v>
      </c>
      <c r="S55" s="352">
        <f t="shared" ref="S55" si="51">S22/N22-1</f>
        <v>1.9175246499972598E-2</v>
      </c>
      <c r="T55" s="352">
        <f t="shared" ref="T55" si="52">T22/O22-1</f>
        <v>-0.81681375876895213</v>
      </c>
      <c r="U55" s="352">
        <f t="shared" ref="U55" si="53">U22/P22-1</f>
        <v>-0.27684391080617499</v>
      </c>
      <c r="V55" s="352">
        <f t="shared" ref="V55:AV55" si="54">V22/Q22-1</f>
        <v>-0.12064240558931372</v>
      </c>
      <c r="W55" s="353">
        <f t="shared" si="54"/>
        <v>-0.22613385864216728</v>
      </c>
      <c r="X55" s="352">
        <f t="shared" si="54"/>
        <v>-0.10151519278243049</v>
      </c>
      <c r="Y55" s="352">
        <f t="shared" si="54"/>
        <v>3.42008860876326</v>
      </c>
      <c r="Z55" s="352">
        <f t="shared" si="54"/>
        <v>-0.15006052484644972</v>
      </c>
      <c r="AA55" s="352">
        <f t="shared" si="54"/>
        <v>0.45536887484654054</v>
      </c>
      <c r="AB55" s="353">
        <f t="shared" si="54"/>
        <v>0.16892238661618042</v>
      </c>
      <c r="AC55" s="352">
        <f t="shared" si="54"/>
        <v>0.24691883730583397</v>
      </c>
      <c r="AD55" s="352">
        <f t="shared" si="54"/>
        <v>0.37530176562116235</v>
      </c>
      <c r="AE55" s="352">
        <f t="shared" si="54"/>
        <v>0.34612643463409065</v>
      </c>
      <c r="AF55" s="352">
        <f t="shared" si="54"/>
        <v>-2.4736637203284673E-2</v>
      </c>
      <c r="AG55" s="353">
        <f t="shared" si="54"/>
        <v>0.18597703626609663</v>
      </c>
      <c r="AH55" s="352">
        <f t="shared" si="54"/>
        <v>0.10455238731064909</v>
      </c>
      <c r="AI55" s="352">
        <f t="shared" si="54"/>
        <v>0.14187144563770904</v>
      </c>
      <c r="AJ55" s="352">
        <f t="shared" si="54"/>
        <v>0.12148208131993044</v>
      </c>
      <c r="AK55" s="352">
        <f t="shared" si="54"/>
        <v>0.15953464638914094</v>
      </c>
      <c r="AL55" s="353">
        <f t="shared" si="54"/>
        <v>0.13032310166971062</v>
      </c>
      <c r="AM55" s="352">
        <f t="shared" si="54"/>
        <v>0.11491532672238369</v>
      </c>
      <c r="AN55" s="352">
        <f t="shared" si="54"/>
        <v>8.9409040912066695E-2</v>
      </c>
      <c r="AO55" s="352">
        <f t="shared" si="54"/>
        <v>6.908370374215278E-2</v>
      </c>
      <c r="AP55" s="352">
        <f t="shared" si="54"/>
        <v>9.9590570093358588E-2</v>
      </c>
      <c r="AQ55" s="353">
        <f t="shared" si="54"/>
        <v>9.6083395525643045E-2</v>
      </c>
      <c r="AR55" s="352">
        <f t="shared" si="54"/>
        <v>9.3863479209438605E-2</v>
      </c>
      <c r="AS55" s="352">
        <f t="shared" si="54"/>
        <v>9.4543027290346471E-2</v>
      </c>
      <c r="AT55" s="352">
        <f t="shared" si="54"/>
        <v>0.10685921755755201</v>
      </c>
      <c r="AU55" s="352">
        <f t="shared" si="54"/>
        <v>5.8776205961678762E-2</v>
      </c>
      <c r="AV55" s="353">
        <f t="shared" si="54"/>
        <v>8.6133821901191343E-2</v>
      </c>
    </row>
    <row r="56" spans="2:48" outlineLevel="1" x14ac:dyDescent="0.3">
      <c r="B56" s="200" t="s">
        <v>312</v>
      </c>
      <c r="C56" s="356"/>
      <c r="D56" s="351">
        <f>-D25/'Income Statement &amp; Segments'!D8</f>
        <v>6.5041385860961587E-2</v>
      </c>
      <c r="E56" s="351">
        <f>-E25/'Income Statement &amp; Segments'!E8</f>
        <v>6.5684517673924428E-2</v>
      </c>
      <c r="F56" s="113">
        <f>-F25/'Income Statement &amp; Segments'!F8</f>
        <v>6.3769602814011436E-2</v>
      </c>
      <c r="G56" s="113">
        <f>-G25/'Income Statement &amp; Segments'!G8</f>
        <v>7.7945753668297008E-2</v>
      </c>
      <c r="H56" s="363">
        <f>-H25/'Income Statement &amp; Segments'!H8</f>
        <v>6.8151467825535855E-2</v>
      </c>
      <c r="I56" s="354">
        <f>-I25/'Income Statement &amp; Segments'!I8</f>
        <v>5.555790393259219E-2</v>
      </c>
      <c r="J56" s="118">
        <f>-J25/'Income Statement &amp; Segments'!J8</f>
        <v>6.0710175625865198E-2</v>
      </c>
      <c r="K56" s="118">
        <f>-K25/'Income Statement &amp; Segments'!K8</f>
        <v>9.0026290234717338E-2</v>
      </c>
      <c r="L56" s="113">
        <f>-L25/'Income Statement &amp; Segments'!L8</f>
        <v>5.5649594557559891E-2</v>
      </c>
      <c r="M56" s="353">
        <f>-M25/'Income Statement &amp; Segments'!M8</f>
        <v>6.3083595543838744E-2</v>
      </c>
      <c r="N56" s="354">
        <f>-N25/'Income Statement &amp; Segments'!N8</f>
        <v>4.8033899309568251E-2</v>
      </c>
      <c r="O56" s="118">
        <f>-O25/'Income Statement &amp; Segments'!O8</f>
        <v>4.8545290941811634E-2</v>
      </c>
      <c r="P56" s="118">
        <f>-P25/'Income Statement &amp; Segments'!P8</f>
        <v>4.5061028479957313E-2</v>
      </c>
      <c r="Q56" s="118">
        <f>-Q25/'Income Statement &amp; Segments'!Q8</f>
        <v>5.9447383603176751E-2</v>
      </c>
      <c r="R56" s="353">
        <f>-R25/'Income Statement &amp; Segments'!R8</f>
        <v>5.058395215515165E-2</v>
      </c>
      <c r="S56" s="354">
        <f>-S25/'Income Statement &amp; Segments'!S8</f>
        <v>5.1773824903110409E-2</v>
      </c>
      <c r="T56" s="118">
        <f>-T25/'Income Statement &amp; Segments'!T8</f>
        <v>5.9602388810309603E-2</v>
      </c>
      <c r="U56" s="118">
        <f>-U25/'Income Statement &amp; Segments'!U8</f>
        <v>5.1962552606716499E-2</v>
      </c>
      <c r="V56" s="35">
        <v>5.8826938051629606E-2</v>
      </c>
      <c r="W56" s="353">
        <f>-W25/'Income Statement &amp; Segments'!W8</f>
        <v>5.5502154447597589E-2</v>
      </c>
      <c r="X56" s="355">
        <v>7.7136381046238753E-2</v>
      </c>
      <c r="Y56" s="355">
        <f>X56</f>
        <v>7.7136381046238753E-2</v>
      </c>
      <c r="Z56" s="355">
        <f>Y56</f>
        <v>7.7136381046238753E-2</v>
      </c>
      <c r="AA56" s="355">
        <f>Z56</f>
        <v>7.7136381046238753E-2</v>
      </c>
      <c r="AB56" s="353">
        <f>-AB25/'Income Statement &amp; Segments'!AB8</f>
        <v>7.7136381046238753E-2</v>
      </c>
      <c r="AC56" s="355">
        <v>6.9833183676169711E-2</v>
      </c>
      <c r="AD56" s="35">
        <f>AC56</f>
        <v>6.9833183676169711E-2</v>
      </c>
      <c r="AE56" s="35">
        <f>AD56</f>
        <v>6.9833183676169711E-2</v>
      </c>
      <c r="AF56" s="35">
        <f>AE56</f>
        <v>6.9833183676169711E-2</v>
      </c>
      <c r="AG56" s="353">
        <f>-AG25/'Income Statement &amp; Segments'!AG8</f>
        <v>6.9833183676169711E-2</v>
      </c>
      <c r="AH56" s="355">
        <v>6.2598056291917614E-2</v>
      </c>
      <c r="AI56" s="35">
        <f>AH56</f>
        <v>6.2598056291917614E-2</v>
      </c>
      <c r="AJ56" s="35">
        <f>AI56</f>
        <v>6.2598056291917614E-2</v>
      </c>
      <c r="AK56" s="35">
        <f>AJ56</f>
        <v>6.2598056291917614E-2</v>
      </c>
      <c r="AL56" s="353">
        <f>-AL25/'Income Statement &amp; Segments'!AL8</f>
        <v>6.2598056291917614E-2</v>
      </c>
      <c r="AM56" s="355">
        <f>AVERAGE(AH56,AI56,AJ56,AK56)</f>
        <v>6.2598056291917614E-2</v>
      </c>
      <c r="AN56" s="35">
        <f>AVERAGE(AI56,AJ56,AK56,AM56)</f>
        <v>6.2598056291917614E-2</v>
      </c>
      <c r="AO56" s="35">
        <f>AVERAGE(AN56,AM56,AK56,AJ56)</f>
        <v>6.2598056291917614E-2</v>
      </c>
      <c r="AP56" s="35">
        <f>AVERAGE(AO56,AN56,AM56,AK56)</f>
        <v>6.2598056291917614E-2</v>
      </c>
      <c r="AQ56" s="353">
        <f>-AQ25/'Income Statement &amp; Segments'!AQ8</f>
        <v>6.2598056291917614E-2</v>
      </c>
      <c r="AR56" s="355">
        <f>AVERAGE(AM56,AN56,AO56,AP56)</f>
        <v>6.2598056291917614E-2</v>
      </c>
      <c r="AS56" s="35">
        <f>AVERAGE(AN56,AO56,AP56,AR56)</f>
        <v>6.2598056291917614E-2</v>
      </c>
      <c r="AT56" s="35">
        <f>AVERAGE(AS56,AR56,AP56,AO56)</f>
        <v>6.2598056291917614E-2</v>
      </c>
      <c r="AU56" s="35">
        <f>AVERAGE(AT56,AS56,AR56,AP56)</f>
        <v>6.2598056291917614E-2</v>
      </c>
      <c r="AV56" s="353">
        <f>-AV25/'Income Statement &amp; Segments'!AV8</f>
        <v>6.25980562919176E-2</v>
      </c>
    </row>
    <row r="57" spans="2:48" outlineLevel="1" x14ac:dyDescent="0.3">
      <c r="B57" s="200" t="s">
        <v>313</v>
      </c>
      <c r="C57" s="356"/>
      <c r="D57" s="299">
        <f>-D34-D33</f>
        <v>5561.4</v>
      </c>
      <c r="E57" s="299">
        <f t="shared" ref="E57:AV57" si="55">-E34-E33</f>
        <v>3161</v>
      </c>
      <c r="F57" s="146">
        <f t="shared" si="55"/>
        <v>581.20000000000005</v>
      </c>
      <c r="G57" s="146">
        <f t="shared" si="55"/>
        <v>2679.9999999999995</v>
      </c>
      <c r="H57" s="122">
        <f t="shared" si="55"/>
        <v>11983.599999999999</v>
      </c>
      <c r="I57" s="299">
        <f t="shared" si="55"/>
        <v>1575.6000000000001</v>
      </c>
      <c r="J57" s="146">
        <f t="shared" si="55"/>
        <v>1088.5</v>
      </c>
      <c r="K57" s="146">
        <f t="shared" si="55"/>
        <v>479.00000000000006</v>
      </c>
      <c r="L57" s="146">
        <f t="shared" si="55"/>
        <v>479.3</v>
      </c>
      <c r="M57" s="122">
        <f t="shared" si="55"/>
        <v>3622.4</v>
      </c>
      <c r="N57" s="299">
        <f t="shared" si="55"/>
        <v>528.20000000000005</v>
      </c>
      <c r="O57" s="146">
        <f t="shared" si="55"/>
        <v>529.79999999999995</v>
      </c>
      <c r="P57" s="146">
        <f t="shared" si="55"/>
        <v>530.20000000000005</v>
      </c>
      <c r="Q57" s="146">
        <f t="shared" si="55"/>
        <v>530.79999999999995</v>
      </c>
      <c r="R57" s="122">
        <f t="shared" si="55"/>
        <v>2119</v>
      </c>
      <c r="S57" s="299">
        <f t="shared" si="55"/>
        <v>4096.8999999999996</v>
      </c>
      <c r="T57" s="146">
        <f t="shared" si="55"/>
        <v>1039.8</v>
      </c>
      <c r="U57" s="146">
        <f t="shared" si="55"/>
        <v>577.39999999999986</v>
      </c>
      <c r="V57" s="146">
        <f t="shared" si="55"/>
        <v>591.31176300000004</v>
      </c>
      <c r="W57" s="122">
        <f>-W34-W33</f>
        <v>6305.4117630000001</v>
      </c>
      <c r="X57" s="299">
        <f t="shared" si="55"/>
        <v>592.49438652600008</v>
      </c>
      <c r="Y57" s="299">
        <f t="shared" si="55"/>
        <v>593.67937529905203</v>
      </c>
      <c r="Z57" s="299">
        <f t="shared" si="55"/>
        <v>594.86673404965018</v>
      </c>
      <c r="AA57" s="299">
        <f t="shared" si="55"/>
        <v>625.85929089363685</v>
      </c>
      <c r="AB57" s="166">
        <f t="shared" si="55"/>
        <v>2406.8997867683393</v>
      </c>
      <c r="AC57" s="299">
        <f t="shared" si="55"/>
        <v>592.49438652600008</v>
      </c>
      <c r="AD57" s="146">
        <f t="shared" si="55"/>
        <v>593.67937529905203</v>
      </c>
      <c r="AE57" s="146">
        <f t="shared" si="55"/>
        <v>694.86673404965018</v>
      </c>
      <c r="AF57" s="146">
        <f t="shared" si="55"/>
        <v>725.85929089363685</v>
      </c>
      <c r="AG57" s="166">
        <f t="shared" si="55"/>
        <v>2606.8997867683393</v>
      </c>
      <c r="AH57" s="299">
        <f t="shared" si="55"/>
        <v>727.11100947542411</v>
      </c>
      <c r="AI57" s="146">
        <f t="shared" si="55"/>
        <v>728.36523149437494</v>
      </c>
      <c r="AJ57" s="146">
        <f t="shared" si="55"/>
        <v>5819.7265176479514</v>
      </c>
      <c r="AK57" s="146">
        <f>-AK34-AK33</f>
        <v>5851.9855749523504</v>
      </c>
      <c r="AL57" s="122">
        <f t="shared" si="55"/>
        <v>13127.1883335701</v>
      </c>
      <c r="AM57" s="299">
        <f t="shared" si="55"/>
        <v>912.21613932497689</v>
      </c>
      <c r="AN57" s="146">
        <f t="shared" si="55"/>
        <v>913.04674444313298</v>
      </c>
      <c r="AO57" s="146">
        <f t="shared" si="55"/>
        <v>888.74025332534723</v>
      </c>
      <c r="AP57" s="146">
        <f t="shared" si="55"/>
        <v>895.10440668659226</v>
      </c>
      <c r="AQ57" s="122">
        <f t="shared" si="55"/>
        <v>3609.1075437800491</v>
      </c>
      <c r="AR57" s="299">
        <f t="shared" si="55"/>
        <v>895.15083440543822</v>
      </c>
      <c r="AS57" s="146">
        <f t="shared" si="55"/>
        <v>895.19735497972169</v>
      </c>
      <c r="AT57" s="146">
        <f t="shared" si="55"/>
        <v>895.24396859515389</v>
      </c>
      <c r="AU57" s="146">
        <f t="shared" si="55"/>
        <v>908.19648894657325</v>
      </c>
      <c r="AV57" s="122">
        <f t="shared" si="55"/>
        <v>3593.7886469268869</v>
      </c>
    </row>
    <row r="58" spans="2:48" outlineLevel="1" x14ac:dyDescent="0.3">
      <c r="B58" s="203" t="s">
        <v>314</v>
      </c>
      <c r="C58" s="364"/>
      <c r="D58" s="365"/>
      <c r="E58" s="365"/>
      <c r="F58" s="366"/>
      <c r="G58" s="366"/>
      <c r="H58" s="367"/>
      <c r="I58" s="365"/>
      <c r="J58" s="366"/>
      <c r="K58" s="366"/>
      <c r="L58" s="366"/>
      <c r="M58" s="367"/>
      <c r="N58" s="365"/>
      <c r="O58" s="366"/>
      <c r="P58" s="366"/>
      <c r="Q58" s="366"/>
      <c r="R58" s="367"/>
      <c r="S58" s="365"/>
      <c r="T58" s="366"/>
      <c r="U58" s="366"/>
      <c r="V58" s="366"/>
      <c r="W58" s="367"/>
      <c r="X58" s="365">
        <f>X57</f>
        <v>592.49438652600008</v>
      </c>
      <c r="Y58" s="365">
        <f>+Y57+X58</f>
        <v>1186.1737618250522</v>
      </c>
      <c r="Z58" s="365">
        <f t="shared" ref="Z58:AA58" si="56">+Z57+Y58</f>
        <v>1781.0404958747024</v>
      </c>
      <c r="AA58" s="365">
        <f t="shared" si="56"/>
        <v>2406.8997867683393</v>
      </c>
      <c r="AB58" s="368">
        <f>AA58</f>
        <v>2406.8997867683393</v>
      </c>
      <c r="AC58" s="365">
        <f>AA58+AC57</f>
        <v>2999.3941732943395</v>
      </c>
      <c r="AD58" s="365">
        <f>AC58+AD57</f>
        <v>3593.0735485933915</v>
      </c>
      <c r="AE58" s="365">
        <f t="shared" ref="AE58:AF58" si="57">AD58+AE57</f>
        <v>4287.9402826430414</v>
      </c>
      <c r="AF58" s="365">
        <f t="shared" si="57"/>
        <v>5013.7995735366785</v>
      </c>
      <c r="AG58" s="368">
        <f>+AF58</f>
        <v>5013.7995735366785</v>
      </c>
      <c r="AH58" s="365">
        <f>AF58+AH57</f>
        <v>5740.9105830121025</v>
      </c>
      <c r="AI58" s="365">
        <f>AH58+AI57</f>
        <v>6469.2758145064772</v>
      </c>
      <c r="AJ58" s="365">
        <f t="shared" ref="AJ58" si="58">AI58+AJ57</f>
        <v>12289.002332154429</v>
      </c>
      <c r="AK58" s="365">
        <f>AJ58+AK57</f>
        <v>18140.987907106777</v>
      </c>
      <c r="AL58" s="394">
        <f>+AK58</f>
        <v>18140.987907106777</v>
      </c>
      <c r="AM58" s="365"/>
      <c r="AN58" s="366"/>
      <c r="AO58" s="366"/>
      <c r="AP58" s="366"/>
      <c r="AQ58" s="367"/>
      <c r="AR58" s="365"/>
      <c r="AS58" s="366"/>
      <c r="AT58" s="366"/>
      <c r="AU58" s="366"/>
      <c r="AV58" s="367"/>
    </row>
    <row r="59" spans="2:48" x14ac:dyDescent="0.3">
      <c r="B59" s="395" t="s">
        <v>330</v>
      </c>
      <c r="C59" s="396"/>
      <c r="D59" s="397"/>
      <c r="E59" s="397"/>
      <c r="F59" s="398"/>
      <c r="G59" s="398"/>
      <c r="H59" s="398"/>
      <c r="I59" s="397"/>
      <c r="J59" s="397"/>
      <c r="K59" s="398"/>
      <c r="L59" s="398"/>
      <c r="M59" s="398"/>
      <c r="N59" s="397"/>
      <c r="O59" s="397"/>
      <c r="P59" s="398"/>
      <c r="Q59" s="398"/>
      <c r="R59" s="398"/>
      <c r="S59" s="397"/>
      <c r="T59" s="397"/>
      <c r="U59" s="398"/>
      <c r="V59" s="398"/>
      <c r="W59" s="398"/>
      <c r="X59" s="397"/>
      <c r="Y59" s="397"/>
      <c r="Z59" s="398"/>
      <c r="AA59" s="398"/>
      <c r="AB59" s="398"/>
      <c r="AC59" s="397"/>
      <c r="AD59" s="397"/>
      <c r="AE59" s="398"/>
      <c r="AF59" s="398"/>
      <c r="AG59" s="398"/>
      <c r="AH59" s="397"/>
      <c r="AI59" s="397"/>
      <c r="AJ59" s="398"/>
      <c r="AK59" s="398"/>
      <c r="AL59" s="403">
        <f>('Income Statement &amp; Segments'!AL34/'Income Statement &amp; Segments'!W34)^(1/3)-1</f>
        <v>0.17678317249137177</v>
      </c>
    </row>
    <row r="60" spans="2:48" x14ac:dyDescent="0.3">
      <c r="B60" s="308" t="s">
        <v>331</v>
      </c>
      <c r="D60" s="399"/>
      <c r="E60" s="399"/>
      <c r="I60" s="399"/>
      <c r="J60" s="399"/>
      <c r="N60" s="399"/>
      <c r="O60" s="399"/>
      <c r="S60" s="399"/>
      <c r="T60" s="399"/>
      <c r="X60" s="399"/>
      <c r="Y60" s="399"/>
      <c r="AC60" s="399"/>
      <c r="AD60" s="399"/>
      <c r="AH60" s="399"/>
      <c r="AI60" s="399"/>
      <c r="AL60" s="29">
        <v>0.16676103207707516</v>
      </c>
    </row>
    <row r="61" spans="2:48" x14ac:dyDescent="0.3">
      <c r="B61" s="311" t="s">
        <v>332</v>
      </c>
      <c r="C61" s="400"/>
      <c r="D61" s="401"/>
      <c r="E61" s="401"/>
      <c r="F61" s="402"/>
      <c r="G61" s="402"/>
      <c r="H61" s="402"/>
      <c r="I61" s="401"/>
      <c r="J61" s="401"/>
      <c r="K61" s="402"/>
      <c r="L61" s="402"/>
      <c r="M61" s="402"/>
      <c r="N61" s="401"/>
      <c r="O61" s="401"/>
      <c r="P61" s="402"/>
      <c r="Q61" s="402"/>
      <c r="R61" s="402"/>
      <c r="S61" s="401"/>
      <c r="T61" s="401"/>
      <c r="U61" s="402"/>
      <c r="V61" s="402"/>
      <c r="W61" s="402"/>
      <c r="X61" s="401"/>
      <c r="Y61" s="401"/>
      <c r="Z61" s="402"/>
      <c r="AA61" s="402"/>
      <c r="AB61" s="402"/>
      <c r="AC61" s="401"/>
      <c r="AD61" s="401"/>
      <c r="AE61" s="402"/>
      <c r="AF61" s="402"/>
      <c r="AG61" s="402"/>
      <c r="AH61" s="401"/>
      <c r="AI61" s="401"/>
      <c r="AJ61" s="402"/>
      <c r="AK61" s="402"/>
      <c r="AL61" s="404">
        <f>AL59-AL60</f>
        <v>1.002214041429661E-2</v>
      </c>
    </row>
    <row r="62" spans="2:48" s="23" customFormat="1" x14ac:dyDescent="0.3">
      <c r="B62" s="395" t="s">
        <v>333</v>
      </c>
      <c r="C62" s="409"/>
      <c r="D62" s="410"/>
      <c r="E62" s="410"/>
      <c r="F62" s="411"/>
      <c r="G62" s="411"/>
      <c r="H62" s="411"/>
      <c r="I62" s="410"/>
      <c r="J62" s="410"/>
      <c r="K62" s="411"/>
      <c r="L62" s="411"/>
      <c r="M62" s="411"/>
      <c r="N62" s="410"/>
      <c r="O62" s="410"/>
      <c r="P62" s="411"/>
      <c r="Q62" s="411"/>
      <c r="R62" s="411"/>
      <c r="S62" s="410"/>
      <c r="T62" s="410"/>
      <c r="U62" s="411"/>
      <c r="V62" s="411"/>
      <c r="W62" s="411"/>
      <c r="X62" s="410"/>
      <c r="Y62" s="410"/>
      <c r="Z62" s="411"/>
      <c r="AA62" s="411"/>
      <c r="AB62" s="411"/>
      <c r="AC62" s="410"/>
      <c r="AD62" s="410"/>
      <c r="AE62" s="411"/>
      <c r="AF62" s="411"/>
      <c r="AG62" s="411"/>
      <c r="AH62" s="410"/>
      <c r="AI62" s="410"/>
      <c r="AJ62" s="411"/>
      <c r="AK62" s="412"/>
      <c r="AL62" s="416">
        <f>(0.15+1)^3*2.88</f>
        <v>4.3801199999999989</v>
      </c>
      <c r="AM62" s="408"/>
      <c r="AN62" s="48"/>
      <c r="AO62" s="309"/>
      <c r="AP62" s="309"/>
      <c r="AQ62" s="309"/>
      <c r="AR62" s="48"/>
      <c r="AS62" s="48"/>
      <c r="AT62" s="309"/>
      <c r="AU62" s="309"/>
      <c r="AV62" s="309"/>
    </row>
    <row r="63" spans="2:48" s="23" customFormat="1" x14ac:dyDescent="0.3">
      <c r="B63" s="311" t="s">
        <v>334</v>
      </c>
      <c r="C63" s="413"/>
      <c r="D63" s="313"/>
      <c r="E63" s="313"/>
      <c r="F63" s="314"/>
      <c r="G63" s="314"/>
      <c r="H63" s="314"/>
      <c r="I63" s="313"/>
      <c r="J63" s="313"/>
      <c r="K63" s="314"/>
      <c r="L63" s="314"/>
      <c r="M63" s="314"/>
      <c r="N63" s="313"/>
      <c r="O63" s="313"/>
      <c r="P63" s="314"/>
      <c r="Q63" s="314"/>
      <c r="R63" s="314"/>
      <c r="S63" s="313"/>
      <c r="T63" s="313"/>
      <c r="U63" s="314"/>
      <c r="V63" s="314"/>
      <c r="W63" s="314"/>
      <c r="X63" s="313"/>
      <c r="Y63" s="313"/>
      <c r="Z63" s="314"/>
      <c r="AA63" s="314"/>
      <c r="AB63" s="314"/>
      <c r="AC63" s="313"/>
      <c r="AD63" s="313"/>
      <c r="AE63" s="314"/>
      <c r="AF63" s="314"/>
      <c r="AG63" s="314"/>
      <c r="AH63" s="313"/>
      <c r="AI63" s="313"/>
      <c r="AJ63" s="314"/>
      <c r="AK63" s="414"/>
      <c r="AL63" s="417">
        <f>(0.2+1)^3*2.88</f>
        <v>4.9766399999999997</v>
      </c>
      <c r="AM63" s="215"/>
      <c r="AN63" s="407"/>
      <c r="AO63" s="309"/>
      <c r="AP63" s="309"/>
      <c r="AQ63" s="309"/>
      <c r="AR63" s="48"/>
      <c r="AS63" s="48"/>
      <c r="AT63" s="309"/>
      <c r="AU63" s="309"/>
      <c r="AV63" s="309"/>
    </row>
    <row r="64" spans="2:48" s="23" customFormat="1" x14ac:dyDescent="0.3">
      <c r="B64" s="395" t="s">
        <v>344</v>
      </c>
      <c r="C64" s="409"/>
      <c r="D64" s="410"/>
      <c r="E64" s="410"/>
      <c r="F64" s="411"/>
      <c r="G64" s="411"/>
      <c r="H64" s="411"/>
      <c r="I64" s="410"/>
      <c r="J64" s="410"/>
      <c r="K64" s="411"/>
      <c r="L64" s="411"/>
      <c r="M64" s="411"/>
      <c r="N64" s="410"/>
      <c r="O64" s="410"/>
      <c r="P64" s="411"/>
      <c r="Q64" s="411"/>
      <c r="R64" s="411"/>
      <c r="S64" s="410"/>
      <c r="T64" s="410"/>
      <c r="U64" s="411"/>
      <c r="V64" s="411"/>
      <c r="W64" s="411"/>
      <c r="X64" s="410"/>
      <c r="Y64" s="410"/>
      <c r="Z64" s="411"/>
      <c r="AA64" s="411"/>
      <c r="AB64" s="411"/>
      <c r="AC64" s="410"/>
      <c r="AD64" s="410"/>
      <c r="AE64" s="411"/>
      <c r="AF64" s="411"/>
      <c r="AG64" s="411"/>
      <c r="AH64" s="410"/>
      <c r="AI64" s="410"/>
      <c r="AJ64" s="411"/>
      <c r="AK64" s="411"/>
      <c r="AL64" s="403">
        <f>(('Income Statement &amp; Segments'!AK57+'Income Statement &amp; Segments'!AK90)/('Income Statement &amp; Segments'!V57+'Income Statement &amp; Segments'!V90))^(1/3)-1</f>
        <v>7.0002254704243816E-2</v>
      </c>
      <c r="AM64" s="16"/>
      <c r="AN64" s="48"/>
      <c r="AO64" s="309"/>
      <c r="AP64" s="309"/>
      <c r="AQ64" s="309"/>
      <c r="AR64" s="48"/>
      <c r="AS64" s="48"/>
      <c r="AT64" s="309"/>
      <c r="AU64" s="309"/>
      <c r="AV64" s="309"/>
    </row>
    <row r="65" spans="2:48" s="23" customFormat="1" x14ac:dyDescent="0.3">
      <c r="B65" s="311" t="s">
        <v>345</v>
      </c>
      <c r="C65" s="413"/>
      <c r="D65" s="313"/>
      <c r="E65" s="313"/>
      <c r="F65" s="314"/>
      <c r="G65" s="314"/>
      <c r="H65" s="314"/>
      <c r="I65" s="313"/>
      <c r="J65" s="313"/>
      <c r="K65" s="314"/>
      <c r="L65" s="314"/>
      <c r="M65" s="314"/>
      <c r="N65" s="313"/>
      <c r="O65" s="313"/>
      <c r="P65" s="314"/>
      <c r="Q65" s="314"/>
      <c r="R65" s="314"/>
      <c r="S65" s="313"/>
      <c r="T65" s="313"/>
      <c r="U65" s="314"/>
      <c r="V65" s="314"/>
      <c r="W65" s="314"/>
      <c r="X65" s="313"/>
      <c r="Y65" s="313"/>
      <c r="Z65" s="314"/>
      <c r="AA65" s="314"/>
      <c r="AB65" s="314"/>
      <c r="AC65" s="313"/>
      <c r="AD65" s="313"/>
      <c r="AE65" s="314"/>
      <c r="AF65" s="314"/>
      <c r="AG65" s="314"/>
      <c r="AH65" s="313"/>
      <c r="AI65" s="313"/>
      <c r="AJ65" s="314"/>
      <c r="AK65" s="314"/>
      <c r="AL65" s="428">
        <f>('Income Statement &amp; Segments'!AL8/'Income Statement &amp; Segments'!W8)^(1/3)-1</f>
        <v>0.10997922210109468</v>
      </c>
      <c r="AM65" s="48"/>
      <c r="AN65" s="48"/>
      <c r="AO65" s="309"/>
      <c r="AP65" s="309"/>
      <c r="AQ65" s="309"/>
      <c r="AR65" s="48"/>
      <c r="AS65" s="48"/>
      <c r="AT65" s="309"/>
      <c r="AU65" s="309"/>
      <c r="AV65" s="309"/>
    </row>
  </sheetData>
  <dataConsolidate/>
  <mergeCells count="27">
    <mergeCell ref="B51:C51"/>
    <mergeCell ref="B52:C52"/>
    <mergeCell ref="B55:C55"/>
    <mergeCell ref="B41:C41"/>
    <mergeCell ref="B42:C42"/>
    <mergeCell ref="B44:C44"/>
    <mergeCell ref="B48:C48"/>
    <mergeCell ref="B49:C49"/>
    <mergeCell ref="B50:C50"/>
    <mergeCell ref="B40:C40"/>
    <mergeCell ref="B21:C21"/>
    <mergeCell ref="B22:C22"/>
    <mergeCell ref="B23:C23"/>
    <mergeCell ref="B25:C25"/>
    <mergeCell ref="B26:C26"/>
    <mergeCell ref="B27:C27"/>
    <mergeCell ref="B28:C28"/>
    <mergeCell ref="B29:C29"/>
    <mergeCell ref="B36:C36"/>
    <mergeCell ref="B37:C37"/>
    <mergeCell ref="B39:C39"/>
    <mergeCell ref="B18:C18"/>
    <mergeCell ref="B3:C3"/>
    <mergeCell ref="B5:C5"/>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5618-AD44-4750-9082-AEBE8213AA04}">
  <dimension ref="B2:C9"/>
  <sheetViews>
    <sheetView showGridLines="0" workbookViewId="0">
      <selection activeCell="C7" sqref="C7"/>
    </sheetView>
  </sheetViews>
  <sheetFormatPr defaultRowHeight="14.4" x14ac:dyDescent="0.3"/>
  <cols>
    <col min="1" max="1" width="2.44140625" customWidth="1"/>
    <col min="2" max="2" width="27.21875" customWidth="1"/>
    <col min="3" max="3" width="12.5546875" customWidth="1"/>
  </cols>
  <sheetData>
    <row r="2" spans="2:3" ht="15.6" x14ac:dyDescent="0.3">
      <c r="B2" s="432" t="s">
        <v>336</v>
      </c>
      <c r="C2" s="489"/>
    </row>
    <row r="3" spans="2:3" x14ac:dyDescent="0.3">
      <c r="B3" s="308" t="s">
        <v>339</v>
      </c>
      <c r="C3" s="425">
        <v>25</v>
      </c>
    </row>
    <row r="4" spans="2:3" x14ac:dyDescent="0.3">
      <c r="B4" s="308" t="s">
        <v>340</v>
      </c>
      <c r="C4" s="426">
        <v>30</v>
      </c>
    </row>
    <row r="5" spans="2:3" x14ac:dyDescent="0.3">
      <c r="B5" s="308" t="s">
        <v>341</v>
      </c>
      <c r="C5" s="426">
        <v>23</v>
      </c>
    </row>
    <row r="6" spans="2:3" x14ac:dyDescent="0.3">
      <c r="B6" s="308" t="s">
        <v>342</v>
      </c>
      <c r="C6" s="421" t="s">
        <v>346</v>
      </c>
    </row>
    <row r="7" spans="2:3" x14ac:dyDescent="0.3">
      <c r="B7" s="180" t="s">
        <v>343</v>
      </c>
      <c r="C7" s="427">
        <v>28</v>
      </c>
    </row>
    <row r="8" spans="2:3" ht="16.2" x14ac:dyDescent="0.45">
      <c r="B8" s="180" t="s">
        <v>337</v>
      </c>
      <c r="C8" s="422">
        <v>0</v>
      </c>
    </row>
    <row r="9" spans="2:3" x14ac:dyDescent="0.3">
      <c r="B9" s="423" t="s">
        <v>338</v>
      </c>
      <c r="C9" s="424">
        <f>C7*'Income Statement &amp; Segments'!AB34</f>
        <v>94.563094120542956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Income Statement &amp; Segments</vt:lpstr>
      <vt:lpstr>Balance Sheet</vt:lpstr>
      <vt:lpstr>Cash Flow Statement</vt:lpstr>
      <vt:lpstr>Valuation</vt:lpstr>
      <vt:lpstr>'Balance Sheet'!Print_Area</vt:lpstr>
      <vt:lpstr>'Cash Flow Statement'!Print_Area</vt:lpstr>
      <vt:lpstr>'Income Statement &amp; Segments'!Print_Area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2022-10-13T09:49:25Z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